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4240" windowHeight="13140"/>
  </bookViews>
  <sheets>
    <sheet name="Sheet3" sheetId="6" r:id="rId1"/>
  </sheets>
  <externalReferences>
    <externalReference r:id="rId2"/>
  </externalReferences>
  <definedNames>
    <definedName name="_xlnm.Print_Titles" localSheetId="0">Sheet3!$38:$44</definedName>
  </definedNames>
  <calcPr calcId="114210" fullCalcOnLoad="1"/>
</workbook>
</file>

<file path=xl/calcChain.xml><?xml version="1.0" encoding="utf-8"?>
<calcChain xmlns="http://schemas.openxmlformats.org/spreadsheetml/2006/main">
  <c r="AP1221" i="6"/>
  <c r="AM1221"/>
  <c r="AP1220"/>
  <c r="AM1220"/>
  <c r="AV1219"/>
  <c r="AT1219"/>
  <c r="AR1219"/>
  <c r="AP1219"/>
  <c r="AM1219"/>
  <c r="AK1219"/>
  <c r="AF1219"/>
  <c r="AA1219"/>
  <c r="O1219"/>
  <c r="AE1219"/>
  <c r="M1219"/>
  <c r="AQ1218"/>
  <c r="AQ1217"/>
  <c r="AP1218"/>
  <c r="AF1218"/>
  <c r="AD1218"/>
  <c r="AD1217"/>
  <c r="AD1216"/>
  <c r="AD1214"/>
  <c r="AC1218"/>
  <c r="AA1218"/>
  <c r="Z1218"/>
  <c r="Y1218"/>
  <c r="AM1218"/>
  <c r="X1218"/>
  <c r="W1218"/>
  <c r="V1218"/>
  <c r="AR1218"/>
  <c r="S1218"/>
  <c r="S1217"/>
  <c r="S1216"/>
  <c r="S1214"/>
  <c r="R1218"/>
  <c r="Q1218"/>
  <c r="Q1217"/>
  <c r="Q1216"/>
  <c r="Q1214"/>
  <c r="P1218"/>
  <c r="O1218"/>
  <c r="O1217"/>
  <c r="N1218"/>
  <c r="M1218"/>
  <c r="M1217"/>
  <c r="M1216"/>
  <c r="M1214"/>
  <c r="L1218"/>
  <c r="AP1217"/>
  <c r="AC1217"/>
  <c r="AC1216"/>
  <c r="AC1214"/>
  <c r="AA1217"/>
  <c r="Z1217"/>
  <c r="Z1216"/>
  <c r="Z1214"/>
  <c r="X1217"/>
  <c r="X1216"/>
  <c r="X1214"/>
  <c r="V1217"/>
  <c r="V1216"/>
  <c r="R1217"/>
  <c r="R1216"/>
  <c r="R1214"/>
  <c r="P1217"/>
  <c r="P1216"/>
  <c r="N1217"/>
  <c r="N1216"/>
  <c r="N1214"/>
  <c r="L1217"/>
  <c r="L1216"/>
  <c r="L1214"/>
  <c r="AP1216"/>
  <c r="AA1216"/>
  <c r="O1216"/>
  <c r="AP1215"/>
  <c r="AA1215"/>
  <c r="AP1214"/>
  <c r="AA1214"/>
  <c r="AP1213"/>
  <c r="AA1213"/>
  <c r="AV1212"/>
  <c r="AU1212"/>
  <c r="AT1212"/>
  <c r="AS1212"/>
  <c r="AR1212"/>
  <c r="AP1212"/>
  <c r="AM1212"/>
  <c r="AL1212"/>
  <c r="AK1212"/>
  <c r="AA1212"/>
  <c r="AT1211"/>
  <c r="AQ1211"/>
  <c r="AP1211"/>
  <c r="AK1211"/>
  <c r="AD1211"/>
  <c r="AC1211"/>
  <c r="AA1211"/>
  <c r="Z1211"/>
  <c r="Z1206"/>
  <c r="Z1205"/>
  <c r="Y1211"/>
  <c r="X1211"/>
  <c r="AM1211"/>
  <c r="W1211"/>
  <c r="V1211"/>
  <c r="AS1211"/>
  <c r="S1211"/>
  <c r="R1211"/>
  <c r="Q1211"/>
  <c r="P1211"/>
  <c r="P1206"/>
  <c r="P1205"/>
  <c r="AF1205"/>
  <c r="O1211"/>
  <c r="N1211"/>
  <c r="M1211"/>
  <c r="L1211"/>
  <c r="AV1210"/>
  <c r="AT1210"/>
  <c r="AR1210"/>
  <c r="AP1210"/>
  <c r="AM1210"/>
  <c r="AK1210"/>
  <c r="AA1210"/>
  <c r="O1210"/>
  <c r="AU1209"/>
  <c r="AS1209"/>
  <c r="AP1209"/>
  <c r="AM1209"/>
  <c r="AL1209"/>
  <c r="AF1209"/>
  <c r="AA1209"/>
  <c r="O1209"/>
  <c r="AS1208"/>
  <c r="AQ1208"/>
  <c r="AV1208"/>
  <c r="AP1208"/>
  <c r="AG1208"/>
  <c r="AD1208"/>
  <c r="AD1206"/>
  <c r="AD1205"/>
  <c r="AD1203"/>
  <c r="AC1208"/>
  <c r="AH1208"/>
  <c r="AA1208"/>
  <c r="Z1208"/>
  <c r="Y1208"/>
  <c r="AM1208"/>
  <c r="X1208"/>
  <c r="W1208"/>
  <c r="V1208"/>
  <c r="AR1208"/>
  <c r="S1208"/>
  <c r="S1206"/>
  <c r="S1205"/>
  <c r="S1203"/>
  <c r="R1208"/>
  <c r="Q1208"/>
  <c r="P1208"/>
  <c r="AF1208"/>
  <c r="O1208"/>
  <c r="N1208"/>
  <c r="M1208"/>
  <c r="M1206"/>
  <c r="M1205"/>
  <c r="M1203"/>
  <c r="L1208"/>
  <c r="AP1207"/>
  <c r="AA1207"/>
  <c r="AR1206"/>
  <c r="AP1206"/>
  <c r="AF1206"/>
  <c r="AC1206"/>
  <c r="AH1206"/>
  <c r="AA1206"/>
  <c r="Y1206"/>
  <c r="AM1206"/>
  <c r="X1206"/>
  <c r="V1206"/>
  <c r="V1205"/>
  <c r="R1206"/>
  <c r="R1205"/>
  <c r="R1203"/>
  <c r="Q1206"/>
  <c r="O1206"/>
  <c r="N1206"/>
  <c r="L1206"/>
  <c r="L1205"/>
  <c r="L1203"/>
  <c r="AP1205"/>
  <c r="AM1205"/>
  <c r="AA1205"/>
  <c r="Y1205"/>
  <c r="Y1203"/>
  <c r="AM1203"/>
  <c r="X1205"/>
  <c r="Q1205"/>
  <c r="O1205"/>
  <c r="O1203"/>
  <c r="N1205"/>
  <c r="AP1204"/>
  <c r="AA1204"/>
  <c r="AP1203"/>
  <c r="AA1203"/>
  <c r="Z1203"/>
  <c r="X1203"/>
  <c r="P1203"/>
  <c r="AF1203"/>
  <c r="N1203"/>
  <c r="AP1202"/>
  <c r="AA1202"/>
  <c r="AV1201"/>
  <c r="AU1201"/>
  <c r="AT1201"/>
  <c r="AS1201"/>
  <c r="AR1201"/>
  <c r="AP1201"/>
  <c r="AM1201"/>
  <c r="AL1201"/>
  <c r="AK1201"/>
  <c r="AH1201"/>
  <c r="AG1201"/>
  <c r="AA1201"/>
  <c r="O1201"/>
  <c r="AF1201"/>
  <c r="M1201"/>
  <c r="AU1200"/>
  <c r="AQ1200"/>
  <c r="AV1200"/>
  <c r="AP1200"/>
  <c r="AK1200"/>
  <c r="AD1200"/>
  <c r="AC1200"/>
  <c r="AH1200"/>
  <c r="AA1200"/>
  <c r="Z1200"/>
  <c r="Y1200"/>
  <c r="AM1200"/>
  <c r="X1200"/>
  <c r="AL1200"/>
  <c r="W1200"/>
  <c r="AS1200"/>
  <c r="V1200"/>
  <c r="AR1200"/>
  <c r="S1200"/>
  <c r="R1200"/>
  <c r="Q1200"/>
  <c r="P1200"/>
  <c r="N1200"/>
  <c r="M1200"/>
  <c r="L1200"/>
  <c r="AP1199"/>
  <c r="AA1199"/>
  <c r="AV1198"/>
  <c r="AU1198"/>
  <c r="AT1198"/>
  <c r="AS1198"/>
  <c r="AR1198"/>
  <c r="AP1198"/>
  <c r="AM1198"/>
  <c r="AL1198"/>
  <c r="AK1198"/>
  <c r="AH1198"/>
  <c r="AG1198"/>
  <c r="AA1198"/>
  <c r="O1198"/>
  <c r="AF1198"/>
  <c r="M1198"/>
  <c r="AV1197"/>
  <c r="AU1197"/>
  <c r="AT1197"/>
  <c r="AS1197"/>
  <c r="AR1197"/>
  <c r="AP1197"/>
  <c r="AM1197"/>
  <c r="AL1197"/>
  <c r="AK1197"/>
  <c r="AH1197"/>
  <c r="AG1197"/>
  <c r="AA1197"/>
  <c r="O1197"/>
  <c r="AF1197"/>
  <c r="M1197"/>
  <c r="AU1196"/>
  <c r="AQ1196"/>
  <c r="AQ1195"/>
  <c r="AP1196"/>
  <c r="AK1196"/>
  <c r="AD1196"/>
  <c r="AC1196"/>
  <c r="AH1196"/>
  <c r="AA1196"/>
  <c r="Z1196"/>
  <c r="Y1196"/>
  <c r="AM1196"/>
  <c r="X1196"/>
  <c r="AL1196"/>
  <c r="W1196"/>
  <c r="AS1196"/>
  <c r="V1196"/>
  <c r="V1195"/>
  <c r="AR1195"/>
  <c r="S1196"/>
  <c r="R1196"/>
  <c r="Q1196"/>
  <c r="P1196"/>
  <c r="N1196"/>
  <c r="M1196"/>
  <c r="L1196"/>
  <c r="L1195"/>
  <c r="L1194"/>
  <c r="L1192"/>
  <c r="AS1195"/>
  <c r="AP1195"/>
  <c r="AD1195"/>
  <c r="AC1195"/>
  <c r="AC1194"/>
  <c r="AA1195"/>
  <c r="Y1195"/>
  <c r="X1195"/>
  <c r="W1195"/>
  <c r="AK1195"/>
  <c r="S1195"/>
  <c r="R1195"/>
  <c r="R1194"/>
  <c r="Q1195"/>
  <c r="N1195"/>
  <c r="N1194"/>
  <c r="N1192"/>
  <c r="M1195"/>
  <c r="AQ1194"/>
  <c r="AP1194"/>
  <c r="AD1194"/>
  <c r="AA1194"/>
  <c r="Y1194"/>
  <c r="W1194"/>
  <c r="V1194"/>
  <c r="S1194"/>
  <c r="Q1194"/>
  <c r="M1194"/>
  <c r="AP1193"/>
  <c r="AA1193"/>
  <c r="AQ1192"/>
  <c r="AP1192"/>
  <c r="AD1192"/>
  <c r="AA1192"/>
  <c r="Y1192"/>
  <c r="W1192"/>
  <c r="S1192"/>
  <c r="Q1192"/>
  <c r="M1192"/>
  <c r="AV1191"/>
  <c r="AT1191"/>
  <c r="AR1191"/>
  <c r="AP1191"/>
  <c r="AK1191"/>
  <c r="AA1191"/>
  <c r="O1191"/>
  <c r="AP1190"/>
  <c r="AA1190"/>
  <c r="O1190"/>
  <c r="AE1190"/>
  <c r="M1190"/>
  <c r="AP1189"/>
  <c r="AA1189"/>
  <c r="AP1188"/>
  <c r="AA1188"/>
  <c r="AQ1187"/>
  <c r="AQ1186"/>
  <c r="AV1186"/>
  <c r="AP1187"/>
  <c r="AG1187"/>
  <c r="AD1187"/>
  <c r="AC1187"/>
  <c r="AC1186"/>
  <c r="AH1186"/>
  <c r="AA1187"/>
  <c r="Z1187"/>
  <c r="Y1187"/>
  <c r="X1187"/>
  <c r="X1186"/>
  <c r="X1185"/>
  <c r="X1183"/>
  <c r="W1187"/>
  <c r="AT1187"/>
  <c r="V1187"/>
  <c r="AR1187"/>
  <c r="S1187"/>
  <c r="R1187"/>
  <c r="R1186"/>
  <c r="R1185"/>
  <c r="R1183"/>
  <c r="Q1187"/>
  <c r="P1187"/>
  <c r="AF1187"/>
  <c r="O1187"/>
  <c r="AE1187"/>
  <c r="N1187"/>
  <c r="N1186"/>
  <c r="N1185"/>
  <c r="N1183"/>
  <c r="M1187"/>
  <c r="L1187"/>
  <c r="AP1186"/>
  <c r="AK1186"/>
  <c r="AD1186"/>
  <c r="AA1186"/>
  <c r="Z1186"/>
  <c r="Z1185"/>
  <c r="Z1183"/>
  <c r="Y1186"/>
  <c r="W1186"/>
  <c r="V1186"/>
  <c r="S1186"/>
  <c r="Q1186"/>
  <c r="AG1186"/>
  <c r="P1186"/>
  <c r="O1186"/>
  <c r="M1186"/>
  <c r="AE1186"/>
  <c r="L1186"/>
  <c r="L1185"/>
  <c r="L1183"/>
  <c r="AP1185"/>
  <c r="AD1185"/>
  <c r="AC1185"/>
  <c r="AA1185"/>
  <c r="Y1185"/>
  <c r="W1185"/>
  <c r="S1185"/>
  <c r="Q1185"/>
  <c r="O1185"/>
  <c r="AE1185"/>
  <c r="M1185"/>
  <c r="AP1184"/>
  <c r="AA1184"/>
  <c r="AP1183"/>
  <c r="AD1183"/>
  <c r="AA1183"/>
  <c r="Y1183"/>
  <c r="W1183"/>
  <c r="S1183"/>
  <c r="Q1183"/>
  <c r="O1183"/>
  <c r="AE1183"/>
  <c r="M1183"/>
  <c r="AP1182"/>
  <c r="AA1182"/>
  <c r="AP1181"/>
  <c r="AA1181"/>
  <c r="O1181"/>
  <c r="AP1180"/>
  <c r="AA1180"/>
  <c r="O1180"/>
  <c r="AV1179"/>
  <c r="AU1179"/>
  <c r="AT1179"/>
  <c r="AS1179"/>
  <c r="AR1179"/>
  <c r="AP1179"/>
  <c r="AM1179"/>
  <c r="AL1179"/>
  <c r="AK1179"/>
  <c r="AH1179"/>
  <c r="AA1179"/>
  <c r="O1179"/>
  <c r="AP1178"/>
  <c r="AA1178"/>
  <c r="O1178"/>
  <c r="AQ1177"/>
  <c r="AP1177"/>
  <c r="AD1177"/>
  <c r="AC1177"/>
  <c r="AA1177"/>
  <c r="Z1177"/>
  <c r="Y1177"/>
  <c r="AM1177"/>
  <c r="X1177"/>
  <c r="AL1177"/>
  <c r="W1177"/>
  <c r="V1177"/>
  <c r="AR1177"/>
  <c r="S1177"/>
  <c r="R1177"/>
  <c r="R1176"/>
  <c r="R1175"/>
  <c r="Q1177"/>
  <c r="AG1177"/>
  <c r="P1177"/>
  <c r="AF1177"/>
  <c r="O1177"/>
  <c r="N1177"/>
  <c r="M1177"/>
  <c r="L1177"/>
  <c r="AU1176"/>
  <c r="AQ1176"/>
  <c r="AV1176"/>
  <c r="AP1176"/>
  <c r="AL1176"/>
  <c r="AK1176"/>
  <c r="AD1176"/>
  <c r="AA1176"/>
  <c r="Z1176"/>
  <c r="Y1176"/>
  <c r="X1176"/>
  <c r="W1176"/>
  <c r="AS1176"/>
  <c r="V1176"/>
  <c r="AR1176"/>
  <c r="S1176"/>
  <c r="Q1176"/>
  <c r="AG1176"/>
  <c r="P1176"/>
  <c r="O1176"/>
  <c r="O1175"/>
  <c r="O1173"/>
  <c r="N1176"/>
  <c r="M1176"/>
  <c r="L1176"/>
  <c r="AQ1175"/>
  <c r="AP1175"/>
  <c r="AD1175"/>
  <c r="AA1175"/>
  <c r="Z1175"/>
  <c r="X1175"/>
  <c r="W1175"/>
  <c r="AL1175"/>
  <c r="V1175"/>
  <c r="V1173"/>
  <c r="S1175"/>
  <c r="Q1175"/>
  <c r="AG1175"/>
  <c r="P1175"/>
  <c r="N1175"/>
  <c r="M1175"/>
  <c r="M1173"/>
  <c r="L1175"/>
  <c r="L1173"/>
  <c r="AP1174"/>
  <c r="AA1174"/>
  <c r="AQ1173"/>
  <c r="AP1173"/>
  <c r="AD1173"/>
  <c r="AA1173"/>
  <c r="Z1173"/>
  <c r="X1173"/>
  <c r="S1173"/>
  <c r="Q1173"/>
  <c r="AG1173"/>
  <c r="P1173"/>
  <c r="N1173"/>
  <c r="AP1172"/>
  <c r="AA1172"/>
  <c r="AV1171"/>
  <c r="AU1171"/>
  <c r="AT1171"/>
  <c r="AS1171"/>
  <c r="AR1171"/>
  <c r="AP1171"/>
  <c r="AM1171"/>
  <c r="AL1171"/>
  <c r="AK1171"/>
  <c r="AH1171"/>
  <c r="AG1171"/>
  <c r="AA1171"/>
  <c r="O1171"/>
  <c r="M1171"/>
  <c r="M1170"/>
  <c r="M1169"/>
  <c r="AQ1170"/>
  <c r="AV1170"/>
  <c r="AP1170"/>
  <c r="AL1170"/>
  <c r="AD1170"/>
  <c r="AD1169"/>
  <c r="AC1170"/>
  <c r="AH1170"/>
  <c r="AA1170"/>
  <c r="Z1170"/>
  <c r="Y1170"/>
  <c r="AM1170"/>
  <c r="X1170"/>
  <c r="W1170"/>
  <c r="V1170"/>
  <c r="AS1170"/>
  <c r="S1170"/>
  <c r="S1169"/>
  <c r="R1170"/>
  <c r="AK1170"/>
  <c r="Q1170"/>
  <c r="AG1170"/>
  <c r="P1170"/>
  <c r="N1170"/>
  <c r="L1170"/>
  <c r="AV1169"/>
  <c r="AQ1169"/>
  <c r="AP1169"/>
  <c r="AL1169"/>
  <c r="AC1169"/>
  <c r="AA1169"/>
  <c r="Z1169"/>
  <c r="Y1169"/>
  <c r="AM1169"/>
  <c r="X1169"/>
  <c r="W1169"/>
  <c r="AT1169"/>
  <c r="V1169"/>
  <c r="AR1169"/>
  <c r="R1169"/>
  <c r="Q1169"/>
  <c r="P1169"/>
  <c r="N1169"/>
  <c r="L1169"/>
  <c r="AP1168"/>
  <c r="AA1168"/>
  <c r="AV1167"/>
  <c r="AU1167"/>
  <c r="AT1167"/>
  <c r="AS1167"/>
  <c r="AR1167"/>
  <c r="AP1167"/>
  <c r="AM1167"/>
  <c r="AL1167"/>
  <c r="AK1167"/>
  <c r="AA1167"/>
  <c r="O1167"/>
  <c r="AE1167"/>
  <c r="M1167"/>
  <c r="AV1166"/>
  <c r="AU1166"/>
  <c r="AT1166"/>
  <c r="AS1166"/>
  <c r="AR1166"/>
  <c r="AP1166"/>
  <c r="AM1166"/>
  <c r="AL1166"/>
  <c r="AK1166"/>
  <c r="AH1166"/>
  <c r="AG1166"/>
  <c r="AF1166"/>
  <c r="AA1166"/>
  <c r="O1166"/>
  <c r="AE1166"/>
  <c r="M1166"/>
  <c r="AV1165"/>
  <c r="AU1165"/>
  <c r="AT1165"/>
  <c r="AS1165"/>
  <c r="AR1165"/>
  <c r="AP1165"/>
  <c r="AM1165"/>
  <c r="AL1165"/>
  <c r="AK1165"/>
  <c r="AH1165"/>
  <c r="AG1165"/>
  <c r="AF1165"/>
  <c r="AA1165"/>
  <c r="O1165"/>
  <c r="AE1165"/>
  <c r="M1165"/>
  <c r="AS1164"/>
  <c r="AQ1164"/>
  <c r="AV1164"/>
  <c r="AP1164"/>
  <c r="AG1164"/>
  <c r="AE1164"/>
  <c r="AD1164"/>
  <c r="AC1164"/>
  <c r="AH1164"/>
  <c r="AA1164"/>
  <c r="Z1164"/>
  <c r="Y1164"/>
  <c r="AM1164"/>
  <c r="X1164"/>
  <c r="W1164"/>
  <c r="AK1164"/>
  <c r="V1164"/>
  <c r="AR1164"/>
  <c r="S1164"/>
  <c r="R1164"/>
  <c r="Q1164"/>
  <c r="P1164"/>
  <c r="O1164"/>
  <c r="AF1164"/>
  <c r="N1164"/>
  <c r="N1144"/>
  <c r="M1164"/>
  <c r="L1164"/>
  <c r="AP1163"/>
  <c r="AA1163"/>
  <c r="AV1162"/>
  <c r="AU1162"/>
  <c r="AT1162"/>
  <c r="AS1162"/>
  <c r="AR1162"/>
  <c r="AP1162"/>
  <c r="AM1162"/>
  <c r="AL1162"/>
  <c r="AK1162"/>
  <c r="AH1162"/>
  <c r="AG1162"/>
  <c r="AF1162"/>
  <c r="AA1162"/>
  <c r="O1162"/>
  <c r="AE1162"/>
  <c r="M1162"/>
  <c r="AV1161"/>
  <c r="AU1161"/>
  <c r="AT1161"/>
  <c r="AS1161"/>
  <c r="AR1161"/>
  <c r="AP1161"/>
  <c r="AM1161"/>
  <c r="AL1161"/>
  <c r="AK1161"/>
  <c r="AH1161"/>
  <c r="AG1161"/>
  <c r="AF1161"/>
  <c r="AA1161"/>
  <c r="O1161"/>
  <c r="AE1161"/>
  <c r="M1161"/>
  <c r="AV1160"/>
  <c r="AU1160"/>
  <c r="AT1160"/>
  <c r="AS1160"/>
  <c r="AR1160"/>
  <c r="AP1160"/>
  <c r="AM1160"/>
  <c r="AL1160"/>
  <c r="AK1160"/>
  <c r="AH1160"/>
  <c r="AG1160"/>
  <c r="AF1160"/>
  <c r="AA1160"/>
  <c r="O1160"/>
  <c r="AE1160"/>
  <c r="M1160"/>
  <c r="AV1159"/>
  <c r="AU1159"/>
  <c r="AT1159"/>
  <c r="AS1159"/>
  <c r="AR1159"/>
  <c r="AP1159"/>
  <c r="AM1159"/>
  <c r="AL1159"/>
  <c r="AK1159"/>
  <c r="AA1159"/>
  <c r="O1159"/>
  <c r="AV1158"/>
  <c r="AU1158"/>
  <c r="AT1158"/>
  <c r="AS1158"/>
  <c r="AR1158"/>
  <c r="AP1158"/>
  <c r="AM1158"/>
  <c r="AL1158"/>
  <c r="AK1158"/>
  <c r="AA1158"/>
  <c r="O1158"/>
  <c r="O1156"/>
  <c r="AV1157"/>
  <c r="AU1157"/>
  <c r="AT1157"/>
  <c r="AS1157"/>
  <c r="AR1157"/>
  <c r="AP1157"/>
  <c r="AM1157"/>
  <c r="AL1157"/>
  <c r="AK1157"/>
  <c r="AH1157"/>
  <c r="AG1157"/>
  <c r="AA1157"/>
  <c r="O1157"/>
  <c r="AF1157"/>
  <c r="M1157"/>
  <c r="M1156"/>
  <c r="M1144"/>
  <c r="AQ1156"/>
  <c r="AP1156"/>
  <c r="AM1156"/>
  <c r="AE1156"/>
  <c r="AD1156"/>
  <c r="AC1156"/>
  <c r="AH1156"/>
  <c r="AA1156"/>
  <c r="Z1156"/>
  <c r="Y1156"/>
  <c r="X1156"/>
  <c r="W1156"/>
  <c r="AL1156"/>
  <c r="V1156"/>
  <c r="S1156"/>
  <c r="R1156"/>
  <c r="Q1156"/>
  <c r="AG1156"/>
  <c r="P1156"/>
  <c r="AF1156"/>
  <c r="N1156"/>
  <c r="L1156"/>
  <c r="L1144"/>
  <c r="AP1155"/>
  <c r="AA1155"/>
  <c r="AV1154"/>
  <c r="AU1154"/>
  <c r="AT1154"/>
  <c r="AS1154"/>
  <c r="AR1154"/>
  <c r="AP1154"/>
  <c r="AM1154"/>
  <c r="AL1154"/>
  <c r="AK1154"/>
  <c r="AA1154"/>
  <c r="O1154"/>
  <c r="AV1153"/>
  <c r="AU1153"/>
  <c r="AT1153"/>
  <c r="AS1153"/>
  <c r="AR1153"/>
  <c r="AP1153"/>
  <c r="AM1153"/>
  <c r="AL1153"/>
  <c r="AK1153"/>
  <c r="AH1153"/>
  <c r="AG1153"/>
  <c r="AF1153"/>
  <c r="AE1153"/>
  <c r="AA1153"/>
  <c r="O1153"/>
  <c r="M1153"/>
  <c r="AV1152"/>
  <c r="AU1152"/>
  <c r="AT1152"/>
  <c r="AS1152"/>
  <c r="AR1152"/>
  <c r="AP1152"/>
  <c r="AM1152"/>
  <c r="AL1152"/>
  <c r="AK1152"/>
  <c r="AH1152"/>
  <c r="AG1152"/>
  <c r="AF1152"/>
  <c r="AE1152"/>
  <c r="AA1152"/>
  <c r="O1152"/>
  <c r="M1152"/>
  <c r="AT1151"/>
  <c r="AR1151"/>
  <c r="AQ1151"/>
  <c r="AV1151"/>
  <c r="AP1151"/>
  <c r="AH1151"/>
  <c r="AG1151"/>
  <c r="AD1151"/>
  <c r="AC1151"/>
  <c r="AA1151"/>
  <c r="Z1151"/>
  <c r="Y1151"/>
  <c r="AM1151"/>
  <c r="X1151"/>
  <c r="AL1151"/>
  <c r="W1151"/>
  <c r="AK1151"/>
  <c r="V1151"/>
  <c r="S1151"/>
  <c r="R1151"/>
  <c r="Q1151"/>
  <c r="P1151"/>
  <c r="O1151"/>
  <c r="O1144"/>
  <c r="AE1144"/>
  <c r="N1151"/>
  <c r="M1151"/>
  <c r="L1151"/>
  <c r="AP1150"/>
  <c r="AA1150"/>
  <c r="AU1149"/>
  <c r="AS1149"/>
  <c r="AP1149"/>
  <c r="AM1149"/>
  <c r="AL1149"/>
  <c r="AA1149"/>
  <c r="O1149"/>
  <c r="AP1148"/>
  <c r="AA1148"/>
  <c r="O1148"/>
  <c r="AV1147"/>
  <c r="AU1147"/>
  <c r="AT1147"/>
  <c r="AS1147"/>
  <c r="AR1147"/>
  <c r="AP1147"/>
  <c r="AM1147"/>
  <c r="AL1147"/>
  <c r="AK1147"/>
  <c r="AH1147"/>
  <c r="AG1147"/>
  <c r="AF1147"/>
  <c r="AE1147"/>
  <c r="AA1147"/>
  <c r="O1147"/>
  <c r="M1147"/>
  <c r="AV1146"/>
  <c r="AU1146"/>
  <c r="AT1146"/>
  <c r="AS1146"/>
  <c r="AR1146"/>
  <c r="AP1146"/>
  <c r="AM1146"/>
  <c r="AL1146"/>
  <c r="AK1146"/>
  <c r="AH1146"/>
  <c r="AG1146"/>
  <c r="AF1146"/>
  <c r="AE1146"/>
  <c r="AA1146"/>
  <c r="O1146"/>
  <c r="M1146"/>
  <c r="AV1145"/>
  <c r="AT1145"/>
  <c r="AS1145"/>
  <c r="AQ1145"/>
  <c r="AP1145"/>
  <c r="AL1145"/>
  <c r="AK1145"/>
  <c r="AD1145"/>
  <c r="AC1145"/>
  <c r="AA1145"/>
  <c r="Z1145"/>
  <c r="Z1144"/>
  <c r="Y1145"/>
  <c r="AM1145"/>
  <c r="X1145"/>
  <c r="W1145"/>
  <c r="AU1145"/>
  <c r="V1145"/>
  <c r="AR1145"/>
  <c r="S1145"/>
  <c r="R1145"/>
  <c r="Q1145"/>
  <c r="P1145"/>
  <c r="AF1145"/>
  <c r="O1145"/>
  <c r="AE1145"/>
  <c r="N1145"/>
  <c r="M1145"/>
  <c r="L1145"/>
  <c r="AT1144"/>
  <c r="AP1144"/>
  <c r="AD1144"/>
  <c r="AC1144"/>
  <c r="AA1144"/>
  <c r="Y1144"/>
  <c r="W1144"/>
  <c r="AK1144"/>
  <c r="S1144"/>
  <c r="R1144"/>
  <c r="AP1143"/>
  <c r="AA1143"/>
  <c r="AP1142"/>
  <c r="AA1142"/>
  <c r="AV1141"/>
  <c r="AU1141"/>
  <c r="AT1141"/>
  <c r="AS1141"/>
  <c r="AR1141"/>
  <c r="AP1141"/>
  <c r="AM1141"/>
  <c r="AL1141"/>
  <c r="AK1141"/>
  <c r="AH1141"/>
  <c r="AG1141"/>
  <c r="AF1141"/>
  <c r="AE1141"/>
  <c r="AA1141"/>
  <c r="O1141"/>
  <c r="M1141"/>
  <c r="AV1140"/>
  <c r="AQ1140"/>
  <c r="AU1140"/>
  <c r="AP1140"/>
  <c r="AL1140"/>
  <c r="AD1140"/>
  <c r="AC1140"/>
  <c r="AA1140"/>
  <c r="Z1140"/>
  <c r="Y1140"/>
  <c r="AM1140"/>
  <c r="X1140"/>
  <c r="W1140"/>
  <c r="AT1140"/>
  <c r="V1140"/>
  <c r="AR1140"/>
  <c r="S1140"/>
  <c r="R1140"/>
  <c r="Q1140"/>
  <c r="P1140"/>
  <c r="AF1140"/>
  <c r="O1140"/>
  <c r="AE1140"/>
  <c r="N1140"/>
  <c r="M1140"/>
  <c r="L1140"/>
  <c r="AP1139"/>
  <c r="AA1139"/>
  <c r="AV1138"/>
  <c r="AU1138"/>
  <c r="AT1138"/>
  <c r="AS1138"/>
  <c r="AR1138"/>
  <c r="AP1138"/>
  <c r="AM1138"/>
  <c r="AL1138"/>
  <c r="AK1138"/>
  <c r="AH1138"/>
  <c r="AG1138"/>
  <c r="AF1138"/>
  <c r="AE1138"/>
  <c r="AA1138"/>
  <c r="O1138"/>
  <c r="M1138"/>
  <c r="AV1137"/>
  <c r="AQ1137"/>
  <c r="AU1137"/>
  <c r="AP1137"/>
  <c r="AL1137"/>
  <c r="AD1137"/>
  <c r="AC1137"/>
  <c r="AA1137"/>
  <c r="Z1137"/>
  <c r="Y1137"/>
  <c r="AM1137"/>
  <c r="X1137"/>
  <c r="W1137"/>
  <c r="AT1137"/>
  <c r="V1137"/>
  <c r="AR1137"/>
  <c r="S1137"/>
  <c r="R1137"/>
  <c r="Q1137"/>
  <c r="P1137"/>
  <c r="AF1137"/>
  <c r="O1137"/>
  <c r="AE1137"/>
  <c r="N1137"/>
  <c r="M1137"/>
  <c r="L1137"/>
  <c r="AP1136"/>
  <c r="AA1136"/>
  <c r="AV1135"/>
  <c r="AU1135"/>
  <c r="AT1135"/>
  <c r="AS1135"/>
  <c r="AR1135"/>
  <c r="AP1135"/>
  <c r="AM1135"/>
  <c r="AL1135"/>
  <c r="AK1135"/>
  <c r="AH1135"/>
  <c r="AG1135"/>
  <c r="AF1135"/>
  <c r="AE1135"/>
  <c r="AA1135"/>
  <c r="O1135"/>
  <c r="M1135"/>
  <c r="AV1134"/>
  <c r="AP1134"/>
  <c r="AK1134"/>
  <c r="AH1134"/>
  <c r="AD1134"/>
  <c r="AC1134"/>
  <c r="AA1134"/>
  <c r="Z1134"/>
  <c r="Z1132"/>
  <c r="Y1134"/>
  <c r="AM1134"/>
  <c r="X1134"/>
  <c r="AL1134"/>
  <c r="W1134"/>
  <c r="AT1134"/>
  <c r="V1134"/>
  <c r="AR1134"/>
  <c r="S1134"/>
  <c r="R1134"/>
  <c r="Q1134"/>
  <c r="P1134"/>
  <c r="O1134"/>
  <c r="N1134"/>
  <c r="N1132"/>
  <c r="N1131"/>
  <c r="N1129"/>
  <c r="N1128"/>
  <c r="N1126"/>
  <c r="M1134"/>
  <c r="AE1134"/>
  <c r="L1134"/>
  <c r="AP1133"/>
  <c r="AA1133"/>
  <c r="AU1132"/>
  <c r="AP1132"/>
  <c r="AD1132"/>
  <c r="AC1132"/>
  <c r="AA1132"/>
  <c r="Y1132"/>
  <c r="W1132"/>
  <c r="AS1132"/>
  <c r="V1132"/>
  <c r="AR1132"/>
  <c r="S1132"/>
  <c r="R1132"/>
  <c r="AV1132"/>
  <c r="O1132"/>
  <c r="M1132"/>
  <c r="M1131"/>
  <c r="M1129"/>
  <c r="L1132"/>
  <c r="AP1131"/>
  <c r="AC1131"/>
  <c r="AA1131"/>
  <c r="Z1131"/>
  <c r="Z1129"/>
  <c r="R1131"/>
  <c r="AV1131"/>
  <c r="L1131"/>
  <c r="AP1130"/>
  <c r="AA1130"/>
  <c r="AQ1129"/>
  <c r="AP1129"/>
  <c r="AC1129"/>
  <c r="AA1129"/>
  <c r="L1129"/>
  <c r="AP1128"/>
  <c r="AA1128"/>
  <c r="M1128"/>
  <c r="AP1127"/>
  <c r="AA1127"/>
  <c r="AP1126"/>
  <c r="AA1126"/>
  <c r="M1126"/>
  <c r="AP1125"/>
  <c r="AA1125"/>
  <c r="AP1124"/>
  <c r="AA1124"/>
  <c r="AA340"/>
  <c r="AA339"/>
  <c r="AA337"/>
  <c r="AQ1123"/>
  <c r="AP1123"/>
  <c r="AD1123"/>
  <c r="AD1122"/>
  <c r="AC1123"/>
  <c r="AA1123"/>
  <c r="Z1123"/>
  <c r="Y1123"/>
  <c r="X1123"/>
  <c r="X1122"/>
  <c r="W1123"/>
  <c r="V1123"/>
  <c r="S1123"/>
  <c r="S1122"/>
  <c r="R1123"/>
  <c r="Q1123"/>
  <c r="Q1122"/>
  <c r="P1123"/>
  <c r="O1123"/>
  <c r="N1123"/>
  <c r="N1122"/>
  <c r="M1123"/>
  <c r="L1123"/>
  <c r="AQ1122"/>
  <c r="AP1122"/>
  <c r="AC1122"/>
  <c r="AA1122"/>
  <c r="Z1122"/>
  <c r="Y1122"/>
  <c r="W1122"/>
  <c r="V1122"/>
  <c r="R1122"/>
  <c r="P1122"/>
  <c r="O1122"/>
  <c r="M1122"/>
  <c r="L1122"/>
  <c r="AP1121"/>
  <c r="AA1121"/>
  <c r="AV1120"/>
  <c r="AU1120"/>
  <c r="AT1120"/>
  <c r="AS1120"/>
  <c r="AR1120"/>
  <c r="AP1120"/>
  <c r="AM1120"/>
  <c r="AL1120"/>
  <c r="AK1120"/>
  <c r="AH1120"/>
  <c r="AG1120"/>
  <c r="AE1120"/>
  <c r="AA1120"/>
  <c r="AA331"/>
  <c r="AA330"/>
  <c r="O1120"/>
  <c r="O1119"/>
  <c r="M1120"/>
  <c r="AR1119"/>
  <c r="AQ1119"/>
  <c r="AV1119"/>
  <c r="AP1119"/>
  <c r="AM1119"/>
  <c r="AD1119"/>
  <c r="AD1112"/>
  <c r="AD1111"/>
  <c r="AD1109"/>
  <c r="AC1119"/>
  <c r="AH1119"/>
  <c r="AA1119"/>
  <c r="Z1119"/>
  <c r="Z1112"/>
  <c r="Z1111"/>
  <c r="Z1109"/>
  <c r="Y1119"/>
  <c r="X1119"/>
  <c r="AL1119"/>
  <c r="W1119"/>
  <c r="V1119"/>
  <c r="S1119"/>
  <c r="S1112"/>
  <c r="S1111"/>
  <c r="S1109"/>
  <c r="R1119"/>
  <c r="Q1119"/>
  <c r="AG1119"/>
  <c r="P1119"/>
  <c r="P1112"/>
  <c r="N1119"/>
  <c r="M1119"/>
  <c r="M1112"/>
  <c r="AE1112"/>
  <c r="L1119"/>
  <c r="AP1118"/>
  <c r="AA1118"/>
  <c r="AU1115"/>
  <c r="AS1115"/>
  <c r="AP1115"/>
  <c r="AM1115"/>
  <c r="AL1115"/>
  <c r="AA1115"/>
  <c r="O1115"/>
  <c r="O1114"/>
  <c r="O1112"/>
  <c r="O1111"/>
  <c r="AQ1114"/>
  <c r="AU1114"/>
  <c r="AP1114"/>
  <c r="AL1114"/>
  <c r="AD1114"/>
  <c r="AC1114"/>
  <c r="AA1114"/>
  <c r="Z1114"/>
  <c r="Y1114"/>
  <c r="AM1114"/>
  <c r="X1114"/>
  <c r="W1114"/>
  <c r="V1114"/>
  <c r="AS1114"/>
  <c r="S1114"/>
  <c r="R1114"/>
  <c r="Q1114"/>
  <c r="P1114"/>
  <c r="N1114"/>
  <c r="M1114"/>
  <c r="L1114"/>
  <c r="AP1113"/>
  <c r="AA1113"/>
  <c r="AQ1112"/>
  <c r="AP1112"/>
  <c r="AM1112"/>
  <c r="AC1112"/>
  <c r="AH1112"/>
  <c r="AA1112"/>
  <c r="Y1112"/>
  <c r="X1112"/>
  <c r="R1112"/>
  <c r="Q1112"/>
  <c r="N1112"/>
  <c r="L1112"/>
  <c r="L1111"/>
  <c r="L1109"/>
  <c r="AP1111"/>
  <c r="AC1111"/>
  <c r="AA1111"/>
  <c r="Y1111"/>
  <c r="R1111"/>
  <c r="AP1110"/>
  <c r="AA1110"/>
  <c r="AP1109"/>
  <c r="AC1109"/>
  <c r="AA1109"/>
  <c r="Y1109"/>
  <c r="R1109"/>
  <c r="AP1108"/>
  <c r="AA1108"/>
  <c r="AV1107"/>
  <c r="AU1107"/>
  <c r="AT1107"/>
  <c r="AS1107"/>
  <c r="AR1107"/>
  <c r="AP1107"/>
  <c r="AM1107"/>
  <c r="AL1107"/>
  <c r="AK1107"/>
  <c r="AH1107"/>
  <c r="AG1107"/>
  <c r="AA1107"/>
  <c r="O1107"/>
  <c r="AF1107"/>
  <c r="M1107"/>
  <c r="AU1106"/>
  <c r="AQ1106"/>
  <c r="AQ1105"/>
  <c r="AP1106"/>
  <c r="AM1106"/>
  <c r="AD1106"/>
  <c r="AC1106"/>
  <c r="AA1106"/>
  <c r="Z1106"/>
  <c r="Y1106"/>
  <c r="X1106"/>
  <c r="W1106"/>
  <c r="AT1106"/>
  <c r="V1106"/>
  <c r="V1105"/>
  <c r="S1106"/>
  <c r="R1106"/>
  <c r="Q1106"/>
  <c r="AG1106"/>
  <c r="P1106"/>
  <c r="AF1106"/>
  <c r="O1106"/>
  <c r="N1106"/>
  <c r="L1106"/>
  <c r="L1105"/>
  <c r="AP1105"/>
  <c r="AD1105"/>
  <c r="AA1105"/>
  <c r="Z1105"/>
  <c r="Y1105"/>
  <c r="X1105"/>
  <c r="AM1105"/>
  <c r="W1105"/>
  <c r="S1105"/>
  <c r="P1105"/>
  <c r="AF1105"/>
  <c r="O1105"/>
  <c r="N1105"/>
  <c r="AP1104"/>
  <c r="AA1104"/>
  <c r="AV1103"/>
  <c r="AU1103"/>
  <c r="AT1103"/>
  <c r="AS1103"/>
  <c r="AR1103"/>
  <c r="AP1103"/>
  <c r="AM1103"/>
  <c r="AL1103"/>
  <c r="AK1103"/>
  <c r="AA1103"/>
  <c r="O1103"/>
  <c r="AV1102"/>
  <c r="AU1102"/>
  <c r="AT1102"/>
  <c r="AS1102"/>
  <c r="AR1102"/>
  <c r="AP1102"/>
  <c r="AM1102"/>
  <c r="AL1102"/>
  <c r="AK1102"/>
  <c r="AH1102"/>
  <c r="AG1102"/>
  <c r="AA1102"/>
  <c r="O1102"/>
  <c r="M1102"/>
  <c r="AV1101"/>
  <c r="AR1101"/>
  <c r="AQ1101"/>
  <c r="AP1101"/>
  <c r="AL1101"/>
  <c r="AD1101"/>
  <c r="AC1101"/>
  <c r="AH1101"/>
  <c r="AA1101"/>
  <c r="Z1101"/>
  <c r="Y1101"/>
  <c r="X1101"/>
  <c r="AM1101"/>
  <c r="W1101"/>
  <c r="AU1101"/>
  <c r="V1101"/>
  <c r="S1101"/>
  <c r="R1101"/>
  <c r="Q1101"/>
  <c r="AG1101"/>
  <c r="P1101"/>
  <c r="N1101"/>
  <c r="M1101"/>
  <c r="L1101"/>
  <c r="AP1100"/>
  <c r="AA1100"/>
  <c r="AV1099"/>
  <c r="AU1099"/>
  <c r="AT1099"/>
  <c r="AS1099"/>
  <c r="AR1099"/>
  <c r="AP1099"/>
  <c r="AM1099"/>
  <c r="AL1099"/>
  <c r="AK1099"/>
  <c r="AH1099"/>
  <c r="AG1099"/>
  <c r="AA1099"/>
  <c r="O1099"/>
  <c r="M1099"/>
  <c r="AV1098"/>
  <c r="AU1098"/>
  <c r="AT1098"/>
  <c r="AS1098"/>
  <c r="AR1098"/>
  <c r="AP1098"/>
  <c r="AM1098"/>
  <c r="AL1098"/>
  <c r="AK1098"/>
  <c r="AH1098"/>
  <c r="AG1098"/>
  <c r="AA1098"/>
  <c r="O1098"/>
  <c r="M1098"/>
  <c r="AV1097"/>
  <c r="AU1097"/>
  <c r="AT1097"/>
  <c r="AS1097"/>
  <c r="AR1097"/>
  <c r="AP1097"/>
  <c r="AM1097"/>
  <c r="AL1097"/>
  <c r="AK1097"/>
  <c r="AH1097"/>
  <c r="AG1097"/>
  <c r="AA1097"/>
  <c r="O1097"/>
  <c r="M1097"/>
  <c r="AV1096"/>
  <c r="AU1096"/>
  <c r="AT1096"/>
  <c r="AS1096"/>
  <c r="AR1096"/>
  <c r="AP1096"/>
  <c r="AM1096"/>
  <c r="AL1096"/>
  <c r="AK1096"/>
  <c r="AH1096"/>
  <c r="AG1096"/>
  <c r="AA1096"/>
  <c r="O1096"/>
  <c r="M1096"/>
  <c r="AV1095"/>
  <c r="AU1095"/>
  <c r="AT1095"/>
  <c r="AS1095"/>
  <c r="AR1095"/>
  <c r="AP1095"/>
  <c r="AM1095"/>
  <c r="AL1095"/>
  <c r="AK1095"/>
  <c r="AA1095"/>
  <c r="O1095"/>
  <c r="AE1095"/>
  <c r="M1095"/>
  <c r="AV1094"/>
  <c r="AU1094"/>
  <c r="AT1094"/>
  <c r="AS1094"/>
  <c r="AR1094"/>
  <c r="AP1094"/>
  <c r="AM1094"/>
  <c r="AL1094"/>
  <c r="AK1094"/>
  <c r="AH1094"/>
  <c r="AG1094"/>
  <c r="AF1094"/>
  <c r="AA1094"/>
  <c r="O1094"/>
  <c r="AE1094"/>
  <c r="M1094"/>
  <c r="AU1093"/>
  <c r="AS1093"/>
  <c r="AQ1093"/>
  <c r="AP1093"/>
  <c r="AK1093"/>
  <c r="AD1093"/>
  <c r="AC1093"/>
  <c r="AH1093"/>
  <c r="AA1093"/>
  <c r="Z1093"/>
  <c r="Z1081"/>
  <c r="Y1093"/>
  <c r="X1093"/>
  <c r="AM1093"/>
  <c r="W1093"/>
  <c r="AT1093"/>
  <c r="V1093"/>
  <c r="S1093"/>
  <c r="R1093"/>
  <c r="AR1093"/>
  <c r="Q1093"/>
  <c r="P1093"/>
  <c r="N1093"/>
  <c r="M1093"/>
  <c r="L1093"/>
  <c r="AP1092"/>
  <c r="AA1092"/>
  <c r="AV1091"/>
  <c r="AU1091"/>
  <c r="AT1091"/>
  <c r="AS1091"/>
  <c r="AR1091"/>
  <c r="AP1091"/>
  <c r="AM1091"/>
  <c r="AL1091"/>
  <c r="AK1091"/>
  <c r="AH1091"/>
  <c r="AG1091"/>
  <c r="AF1091"/>
  <c r="AA1091"/>
  <c r="O1091"/>
  <c r="AV1090"/>
  <c r="AU1090"/>
  <c r="AT1090"/>
  <c r="AS1090"/>
  <c r="AR1090"/>
  <c r="AP1090"/>
  <c r="AM1090"/>
  <c r="AL1090"/>
  <c r="AK1090"/>
  <c r="AA1090"/>
  <c r="O1090"/>
  <c r="AE1090"/>
  <c r="M1090"/>
  <c r="AU1089"/>
  <c r="AS1089"/>
  <c r="AP1089"/>
  <c r="AM1089"/>
  <c r="AL1089"/>
  <c r="AA1089"/>
  <c r="O1089"/>
  <c r="O1087"/>
  <c r="AV1088"/>
  <c r="AU1088"/>
  <c r="AT1088"/>
  <c r="AS1088"/>
  <c r="AR1088"/>
  <c r="AP1088"/>
  <c r="AM1088"/>
  <c r="AL1088"/>
  <c r="AK1088"/>
  <c r="AH1088"/>
  <c r="AG1088"/>
  <c r="AA1088"/>
  <c r="O1088"/>
  <c r="AF1088"/>
  <c r="M1088"/>
  <c r="AQ1087"/>
  <c r="AU1087"/>
  <c r="AP1087"/>
  <c r="AM1087"/>
  <c r="AD1087"/>
  <c r="AC1087"/>
  <c r="AA1087"/>
  <c r="Z1087"/>
  <c r="Y1087"/>
  <c r="Y1081"/>
  <c r="AM1081"/>
  <c r="X1087"/>
  <c r="W1087"/>
  <c r="AK1087"/>
  <c r="V1087"/>
  <c r="AR1087"/>
  <c r="S1087"/>
  <c r="R1087"/>
  <c r="R1081"/>
  <c r="Q1087"/>
  <c r="AG1087"/>
  <c r="P1087"/>
  <c r="N1087"/>
  <c r="L1087"/>
  <c r="L1081"/>
  <c r="AP1086"/>
  <c r="AA1086"/>
  <c r="AP1085"/>
  <c r="AA1085"/>
  <c r="AU1084"/>
  <c r="AS1084"/>
  <c r="AP1084"/>
  <c r="AM1084"/>
  <c r="AL1084"/>
  <c r="AA1084"/>
  <c r="O1084"/>
  <c r="O1083"/>
  <c r="AQ1083"/>
  <c r="AP1083"/>
  <c r="AD1083"/>
  <c r="AC1083"/>
  <c r="AA1083"/>
  <c r="Z1083"/>
  <c r="Y1083"/>
  <c r="X1083"/>
  <c r="AM1083"/>
  <c r="W1083"/>
  <c r="AU1083"/>
  <c r="V1083"/>
  <c r="S1083"/>
  <c r="R1083"/>
  <c r="Q1083"/>
  <c r="P1083"/>
  <c r="N1083"/>
  <c r="M1083"/>
  <c r="L1083"/>
  <c r="AP1082"/>
  <c r="AA1082"/>
  <c r="AP1081"/>
  <c r="AD1081"/>
  <c r="AA1081"/>
  <c r="X1081"/>
  <c r="AL1081"/>
  <c r="W1081"/>
  <c r="AK1081"/>
  <c r="S1081"/>
  <c r="Q1081"/>
  <c r="N1081"/>
  <c r="AP1080"/>
  <c r="AA1080"/>
  <c r="AP1079"/>
  <c r="AA1079"/>
  <c r="O1079"/>
  <c r="AV1078"/>
  <c r="AU1078"/>
  <c r="AT1078"/>
  <c r="AS1078"/>
  <c r="AR1078"/>
  <c r="AP1078"/>
  <c r="AM1078"/>
  <c r="AL1078"/>
  <c r="AK1078"/>
  <c r="AH1078"/>
  <c r="AG1078"/>
  <c r="AF1078"/>
  <c r="AA1078"/>
  <c r="O1078"/>
  <c r="O1077"/>
  <c r="AE1077"/>
  <c r="M1078"/>
  <c r="AS1077"/>
  <c r="AQ1077"/>
  <c r="AV1077"/>
  <c r="AP1077"/>
  <c r="AK1077"/>
  <c r="AG1077"/>
  <c r="AD1077"/>
  <c r="AC1077"/>
  <c r="AH1077"/>
  <c r="AA1077"/>
  <c r="Z1077"/>
  <c r="Y1077"/>
  <c r="X1077"/>
  <c r="AL1077"/>
  <c r="W1077"/>
  <c r="AT1077"/>
  <c r="V1077"/>
  <c r="AR1077"/>
  <c r="S1077"/>
  <c r="R1077"/>
  <c r="Q1077"/>
  <c r="P1077"/>
  <c r="AF1077"/>
  <c r="N1077"/>
  <c r="M1077"/>
  <c r="L1077"/>
  <c r="AP1076"/>
  <c r="AA1076"/>
  <c r="AV1075"/>
  <c r="AU1075"/>
  <c r="AT1075"/>
  <c r="AS1075"/>
  <c r="AR1075"/>
  <c r="AP1075"/>
  <c r="AM1075"/>
  <c r="AL1075"/>
  <c r="AK1075"/>
  <c r="AH1075"/>
  <c r="AG1075"/>
  <c r="AF1075"/>
  <c r="AA1075"/>
  <c r="O1075"/>
  <c r="O1074"/>
  <c r="AE1074"/>
  <c r="M1075"/>
  <c r="AS1074"/>
  <c r="AQ1074"/>
  <c r="AV1074"/>
  <c r="AP1074"/>
  <c r="AK1074"/>
  <c r="AG1074"/>
  <c r="AD1074"/>
  <c r="AC1074"/>
  <c r="AA1074"/>
  <c r="Z1074"/>
  <c r="Y1074"/>
  <c r="X1074"/>
  <c r="AL1074"/>
  <c r="W1074"/>
  <c r="AT1074"/>
  <c r="V1074"/>
  <c r="AR1074"/>
  <c r="S1074"/>
  <c r="R1074"/>
  <c r="Q1074"/>
  <c r="AH1074"/>
  <c r="P1074"/>
  <c r="AF1074"/>
  <c r="N1074"/>
  <c r="M1074"/>
  <c r="L1074"/>
  <c r="AP1073"/>
  <c r="AA1073"/>
  <c r="AV1072"/>
  <c r="AU1072"/>
  <c r="AT1072"/>
  <c r="AS1072"/>
  <c r="AR1072"/>
  <c r="AP1072"/>
  <c r="AM1072"/>
  <c r="AL1072"/>
  <c r="AK1072"/>
  <c r="AH1072"/>
  <c r="AG1072"/>
  <c r="AF1072"/>
  <c r="AA1072"/>
  <c r="O1072"/>
  <c r="O1071"/>
  <c r="M1072"/>
  <c r="AS1071"/>
  <c r="AQ1071"/>
  <c r="AV1071"/>
  <c r="AP1071"/>
  <c r="AK1071"/>
  <c r="AG1071"/>
  <c r="AD1071"/>
  <c r="AC1071"/>
  <c r="AH1071"/>
  <c r="AA1071"/>
  <c r="Z1071"/>
  <c r="Y1071"/>
  <c r="X1071"/>
  <c r="AL1071"/>
  <c r="W1071"/>
  <c r="AT1071"/>
  <c r="V1071"/>
  <c r="AR1071"/>
  <c r="S1071"/>
  <c r="R1071"/>
  <c r="Q1071"/>
  <c r="P1071"/>
  <c r="AF1071"/>
  <c r="N1071"/>
  <c r="M1071"/>
  <c r="L1071"/>
  <c r="AP1070"/>
  <c r="AA1070"/>
  <c r="AS1069"/>
  <c r="AQ1069"/>
  <c r="AP1069"/>
  <c r="AK1069"/>
  <c r="AG1069"/>
  <c r="AD1069"/>
  <c r="AD1067"/>
  <c r="AD1065"/>
  <c r="AD1064"/>
  <c r="AD1062"/>
  <c r="AC1069"/>
  <c r="AH1069"/>
  <c r="AA1069"/>
  <c r="Z1069"/>
  <c r="Z1067"/>
  <c r="Z1065"/>
  <c r="Z1064"/>
  <c r="Z1062"/>
  <c r="Y1069"/>
  <c r="X1069"/>
  <c r="W1069"/>
  <c r="AT1069"/>
  <c r="V1069"/>
  <c r="S1069"/>
  <c r="S1067"/>
  <c r="S1065"/>
  <c r="S1064"/>
  <c r="S1062"/>
  <c r="R1069"/>
  <c r="Q1069"/>
  <c r="P1069"/>
  <c r="N1069"/>
  <c r="N1067"/>
  <c r="N1065"/>
  <c r="M1069"/>
  <c r="L1069"/>
  <c r="AS1068"/>
  <c r="AP1068"/>
  <c r="AA1068"/>
  <c r="AP1067"/>
  <c r="AA1067"/>
  <c r="Y1067"/>
  <c r="W1067"/>
  <c r="AP1066"/>
  <c r="AA1066"/>
  <c r="AP1065"/>
  <c r="AA1065"/>
  <c r="Y1065"/>
  <c r="W1065"/>
  <c r="AP1064"/>
  <c r="AA1064"/>
  <c r="AP1063"/>
  <c r="AA1063"/>
  <c r="AP1062"/>
  <c r="AA1062"/>
  <c r="AP1061"/>
  <c r="AA1061"/>
  <c r="AV1060"/>
  <c r="AU1060"/>
  <c r="AT1060"/>
  <c r="AS1060"/>
  <c r="AR1060"/>
  <c r="AP1060"/>
  <c r="AM1060"/>
  <c r="AL1060"/>
  <c r="AK1060"/>
  <c r="AH1060"/>
  <c r="AG1060"/>
  <c r="AE1060"/>
  <c r="AA1060"/>
  <c r="O1060"/>
  <c r="AF1060"/>
  <c r="M1060"/>
  <c r="AV1059"/>
  <c r="AT1059"/>
  <c r="AR1059"/>
  <c r="AP1059"/>
  <c r="AK1059"/>
  <c r="AA1059"/>
  <c r="M1059"/>
  <c r="AE1059"/>
  <c r="AR1058"/>
  <c r="AQ1058"/>
  <c r="AP1058"/>
  <c r="AD1058"/>
  <c r="AC1058"/>
  <c r="AH1058"/>
  <c r="AA1058"/>
  <c r="Z1058"/>
  <c r="Y1058"/>
  <c r="AM1058"/>
  <c r="X1058"/>
  <c r="W1058"/>
  <c r="W1057"/>
  <c r="V1058"/>
  <c r="V1057"/>
  <c r="V1056"/>
  <c r="S1058"/>
  <c r="R1058"/>
  <c r="R1057"/>
  <c r="R1056"/>
  <c r="R1054"/>
  <c r="Q1058"/>
  <c r="P1058"/>
  <c r="O1058"/>
  <c r="N1058"/>
  <c r="M1058"/>
  <c r="M1057"/>
  <c r="M1056"/>
  <c r="M1054"/>
  <c r="L1058"/>
  <c r="L1057"/>
  <c r="L1056"/>
  <c r="L1054"/>
  <c r="AP1057"/>
  <c r="AD1057"/>
  <c r="AA1057"/>
  <c r="Z1057"/>
  <c r="Z1056"/>
  <c r="Z1054"/>
  <c r="X1057"/>
  <c r="S1057"/>
  <c r="Q1057"/>
  <c r="AG1057"/>
  <c r="P1057"/>
  <c r="P1056"/>
  <c r="N1057"/>
  <c r="AP1056"/>
  <c r="AD1056"/>
  <c r="AD1054"/>
  <c r="AA1056"/>
  <c r="S1056"/>
  <c r="N1056"/>
  <c r="N1054"/>
  <c r="AP1055"/>
  <c r="AA1055"/>
  <c r="AP1054"/>
  <c r="AA1054"/>
  <c r="S1054"/>
  <c r="AP1053"/>
  <c r="AA1053"/>
  <c r="AV1052"/>
  <c r="AU1052"/>
  <c r="AT1052"/>
  <c r="AS1052"/>
  <c r="AR1052"/>
  <c r="AP1052"/>
  <c r="AM1052"/>
  <c r="AL1052"/>
  <c r="AK1052"/>
  <c r="AH1052"/>
  <c r="AG1052"/>
  <c r="AA1052"/>
  <c r="O1052"/>
  <c r="AF1052"/>
  <c r="M1052"/>
  <c r="AP1051"/>
  <c r="AA1051"/>
  <c r="AQ1050"/>
  <c r="AP1050"/>
  <c r="AL1050"/>
  <c r="AD1050"/>
  <c r="AC1050"/>
  <c r="AH1050"/>
  <c r="AA1050"/>
  <c r="Z1050"/>
  <c r="Y1050"/>
  <c r="AM1050"/>
  <c r="X1050"/>
  <c r="W1050"/>
  <c r="AK1050"/>
  <c r="V1050"/>
  <c r="S1050"/>
  <c r="R1050"/>
  <c r="AT1050"/>
  <c r="Q1050"/>
  <c r="AG1050"/>
  <c r="P1050"/>
  <c r="O1050"/>
  <c r="O1049"/>
  <c r="N1050"/>
  <c r="L1050"/>
  <c r="L1049"/>
  <c r="L1048"/>
  <c r="L1046"/>
  <c r="AP1049"/>
  <c r="AD1049"/>
  <c r="AC1049"/>
  <c r="AA1049"/>
  <c r="Z1049"/>
  <c r="X1049"/>
  <c r="AL1049"/>
  <c r="W1049"/>
  <c r="AK1049"/>
  <c r="S1049"/>
  <c r="R1049"/>
  <c r="R1048"/>
  <c r="R1046"/>
  <c r="P1049"/>
  <c r="AF1049"/>
  <c r="N1049"/>
  <c r="AP1048"/>
  <c r="AD1048"/>
  <c r="AA1048"/>
  <c r="Z1048"/>
  <c r="X1048"/>
  <c r="S1048"/>
  <c r="P1048"/>
  <c r="N1048"/>
  <c r="AP1047"/>
  <c r="AA1047"/>
  <c r="AP1046"/>
  <c r="AD1046"/>
  <c r="AA1046"/>
  <c r="Z1046"/>
  <c r="X1046"/>
  <c r="S1046"/>
  <c r="P1046"/>
  <c r="N1046"/>
  <c r="AP1045"/>
  <c r="AA1045"/>
  <c r="AV1044"/>
  <c r="AU1044"/>
  <c r="AT1044"/>
  <c r="AS1044"/>
  <c r="AR1044"/>
  <c r="AP1044"/>
  <c r="AM1044"/>
  <c r="AL1044"/>
  <c r="AK1044"/>
  <c r="AH1044"/>
  <c r="AG1044"/>
  <c r="AA1044"/>
  <c r="O1044"/>
  <c r="AF1044"/>
  <c r="M1044"/>
  <c r="AV1043"/>
  <c r="AU1043"/>
  <c r="AS1043"/>
  <c r="AR1043"/>
  <c r="AQ1043"/>
  <c r="AP1043"/>
  <c r="AK1043"/>
  <c r="AD1043"/>
  <c r="AD1042"/>
  <c r="AC1043"/>
  <c r="AH1043"/>
  <c r="AA1043"/>
  <c r="Z1043"/>
  <c r="Z1042"/>
  <c r="Z1009"/>
  <c r="Z1007"/>
  <c r="Y1043"/>
  <c r="AM1043"/>
  <c r="X1043"/>
  <c r="AL1043"/>
  <c r="W1043"/>
  <c r="AT1043"/>
  <c r="V1043"/>
  <c r="S1043"/>
  <c r="S1042"/>
  <c r="R1043"/>
  <c r="Q1043"/>
  <c r="P1043"/>
  <c r="N1043"/>
  <c r="M1043"/>
  <c r="M1042"/>
  <c r="L1043"/>
  <c r="AV1042"/>
  <c r="AQ1042"/>
  <c r="AP1042"/>
  <c r="AC1042"/>
  <c r="AA1042"/>
  <c r="Y1042"/>
  <c r="X1042"/>
  <c r="V1042"/>
  <c r="AR1042"/>
  <c r="R1042"/>
  <c r="Q1042"/>
  <c r="AH1042"/>
  <c r="N1042"/>
  <c r="L1042"/>
  <c r="AP1041"/>
  <c r="AA1041"/>
  <c r="AV1040"/>
  <c r="AU1040"/>
  <c r="AT1040"/>
  <c r="AS1040"/>
  <c r="AR1040"/>
  <c r="AP1040"/>
  <c r="AM1040"/>
  <c r="AL1040"/>
  <c r="AK1040"/>
  <c r="AA1040"/>
  <c r="O1040"/>
  <c r="AP1039"/>
  <c r="AA1039"/>
  <c r="O1039"/>
  <c r="AU1038"/>
  <c r="AS1038"/>
  <c r="AP1038"/>
  <c r="AM1038"/>
  <c r="AL1038"/>
  <c r="AA1038"/>
  <c r="O1038"/>
  <c r="AV1037"/>
  <c r="AU1037"/>
  <c r="AT1037"/>
  <c r="AS1037"/>
  <c r="AR1037"/>
  <c r="AP1037"/>
  <c r="AM1037"/>
  <c r="AL1037"/>
  <c r="AK1037"/>
  <c r="AH1037"/>
  <c r="AG1037"/>
  <c r="AA1037"/>
  <c r="O1037"/>
  <c r="M1037"/>
  <c r="AV1036"/>
  <c r="AU1036"/>
  <c r="AT1036"/>
  <c r="AS1036"/>
  <c r="AR1036"/>
  <c r="AP1036"/>
  <c r="AM1036"/>
  <c r="AL1036"/>
  <c r="AK1036"/>
  <c r="AH1036"/>
  <c r="AG1036"/>
  <c r="AA1036"/>
  <c r="O1036"/>
  <c r="M1036"/>
  <c r="AV1035"/>
  <c r="AT1035"/>
  <c r="AS1035"/>
  <c r="AQ1035"/>
  <c r="AU1035"/>
  <c r="AP1035"/>
  <c r="AK1035"/>
  <c r="AD1035"/>
  <c r="AD1010"/>
  <c r="AD1009"/>
  <c r="AD1007"/>
  <c r="AC1035"/>
  <c r="AA1035"/>
  <c r="Z1035"/>
  <c r="Y1035"/>
  <c r="AM1035"/>
  <c r="X1035"/>
  <c r="AL1035"/>
  <c r="W1035"/>
  <c r="V1035"/>
  <c r="AR1035"/>
  <c r="S1035"/>
  <c r="S1010"/>
  <c r="S1009"/>
  <c r="S1007"/>
  <c r="R1035"/>
  <c r="Q1035"/>
  <c r="AH1035"/>
  <c r="P1035"/>
  <c r="N1035"/>
  <c r="M1035"/>
  <c r="L1035"/>
  <c r="AP1034"/>
  <c r="AA1034"/>
  <c r="AP1033"/>
  <c r="AA1033"/>
  <c r="AP1032"/>
  <c r="AA1032"/>
  <c r="AQ1031"/>
  <c r="AP1031"/>
  <c r="AD1031"/>
  <c r="AC1031"/>
  <c r="AA1031"/>
  <c r="Z1031"/>
  <c r="Y1031"/>
  <c r="X1031"/>
  <c r="W1031"/>
  <c r="V1031"/>
  <c r="S1031"/>
  <c r="R1031"/>
  <c r="Q1031"/>
  <c r="P1031"/>
  <c r="O1031"/>
  <c r="N1031"/>
  <c r="M1031"/>
  <c r="L1031"/>
  <c r="AP1030"/>
  <c r="AA1030"/>
  <c r="AV1029"/>
  <c r="AU1029"/>
  <c r="AT1029"/>
  <c r="AS1029"/>
  <c r="AR1029"/>
  <c r="AP1029"/>
  <c r="AM1029"/>
  <c r="AL1029"/>
  <c r="AK1029"/>
  <c r="AH1029"/>
  <c r="AG1029"/>
  <c r="AA1029"/>
  <c r="O1029"/>
  <c r="M1029"/>
  <c r="AV1028"/>
  <c r="AU1028"/>
  <c r="AT1028"/>
  <c r="AS1028"/>
  <c r="AR1028"/>
  <c r="AP1028"/>
  <c r="AM1028"/>
  <c r="AL1028"/>
  <c r="AK1028"/>
  <c r="AH1028"/>
  <c r="AG1028"/>
  <c r="AA1028"/>
  <c r="O1028"/>
  <c r="M1028"/>
  <c r="AV1027"/>
  <c r="AT1027"/>
  <c r="AR1027"/>
  <c r="AP1027"/>
  <c r="AK1027"/>
  <c r="AA1027"/>
  <c r="O1027"/>
  <c r="M1027"/>
  <c r="AE1027"/>
  <c r="AV1026"/>
  <c r="AU1026"/>
  <c r="AT1026"/>
  <c r="AS1026"/>
  <c r="AR1026"/>
  <c r="AP1026"/>
  <c r="AM1026"/>
  <c r="AL1026"/>
  <c r="AK1026"/>
  <c r="AH1026"/>
  <c r="AG1026"/>
  <c r="AA1026"/>
  <c r="O1026"/>
  <c r="AF1026"/>
  <c r="M1026"/>
  <c r="AE1026"/>
  <c r="AV1025"/>
  <c r="AU1025"/>
  <c r="AT1025"/>
  <c r="AS1025"/>
  <c r="AR1025"/>
  <c r="AP1025"/>
  <c r="AM1025"/>
  <c r="AL1025"/>
  <c r="AK1025"/>
  <c r="AH1025"/>
  <c r="AG1025"/>
  <c r="AF1025"/>
  <c r="AA1025"/>
  <c r="O1025"/>
  <c r="M1025"/>
  <c r="AE1025"/>
  <c r="AU1024"/>
  <c r="AS1024"/>
  <c r="AP1024"/>
  <c r="AM1024"/>
  <c r="AL1024"/>
  <c r="AA1024"/>
  <c r="O1024"/>
  <c r="AP1023"/>
  <c r="AA1023"/>
  <c r="O1023"/>
  <c r="AV1022"/>
  <c r="AU1022"/>
  <c r="AT1022"/>
  <c r="AS1022"/>
  <c r="AR1022"/>
  <c r="AP1022"/>
  <c r="AM1022"/>
  <c r="AL1022"/>
  <c r="AK1022"/>
  <c r="AH1022"/>
  <c r="AG1022"/>
  <c r="AF1022"/>
  <c r="AA1022"/>
  <c r="O1022"/>
  <c r="AE1022"/>
  <c r="M1022"/>
  <c r="AV1021"/>
  <c r="AU1021"/>
  <c r="AT1021"/>
  <c r="AS1021"/>
  <c r="AR1021"/>
  <c r="AP1021"/>
  <c r="AM1021"/>
  <c r="AL1021"/>
  <c r="AK1021"/>
  <c r="AH1021"/>
  <c r="AG1021"/>
  <c r="AF1021"/>
  <c r="AA1021"/>
  <c r="O1021"/>
  <c r="AE1021"/>
  <c r="M1021"/>
  <c r="AT1020"/>
  <c r="AS1020"/>
  <c r="AQ1020"/>
  <c r="AV1020"/>
  <c r="AP1020"/>
  <c r="AG1020"/>
  <c r="AD1020"/>
  <c r="AC1020"/>
  <c r="AA1020"/>
  <c r="Z1020"/>
  <c r="Y1020"/>
  <c r="AM1020"/>
  <c r="X1020"/>
  <c r="W1020"/>
  <c r="AK1020"/>
  <c r="V1020"/>
  <c r="AR1020"/>
  <c r="S1020"/>
  <c r="R1020"/>
  <c r="Q1020"/>
  <c r="AH1020"/>
  <c r="P1020"/>
  <c r="N1020"/>
  <c r="N1010"/>
  <c r="N1009"/>
  <c r="N1007"/>
  <c r="L1020"/>
  <c r="AP1019"/>
  <c r="AA1019"/>
  <c r="AV1018"/>
  <c r="AU1018"/>
  <c r="AT1018"/>
  <c r="AS1018"/>
  <c r="AR1018"/>
  <c r="AP1018"/>
  <c r="AM1018"/>
  <c r="AL1018"/>
  <c r="AK1018"/>
  <c r="AH1018"/>
  <c r="AG1018"/>
  <c r="AF1018"/>
  <c r="AA1018"/>
  <c r="O1018"/>
  <c r="AE1018"/>
  <c r="M1018"/>
  <c r="AP1017"/>
  <c r="AA1017"/>
  <c r="O1017"/>
  <c r="AV1016"/>
  <c r="AU1016"/>
  <c r="AT1016"/>
  <c r="AS1016"/>
  <c r="AR1016"/>
  <c r="AP1016"/>
  <c r="AM1016"/>
  <c r="AL1016"/>
  <c r="AK1016"/>
  <c r="AH1016"/>
  <c r="AG1016"/>
  <c r="AF1016"/>
  <c r="AA1016"/>
  <c r="O1016"/>
  <c r="M1016"/>
  <c r="AE1016"/>
  <c r="AV1015"/>
  <c r="AU1015"/>
  <c r="AT1015"/>
  <c r="AS1015"/>
  <c r="AR1015"/>
  <c r="AP1015"/>
  <c r="AM1015"/>
  <c r="AL1015"/>
  <c r="AK1015"/>
  <c r="AH1015"/>
  <c r="AG1015"/>
  <c r="AF1015"/>
  <c r="AA1015"/>
  <c r="O1015"/>
  <c r="M1015"/>
  <c r="AE1015"/>
  <c r="AV1014"/>
  <c r="AU1014"/>
  <c r="AT1014"/>
  <c r="AS1014"/>
  <c r="AR1014"/>
  <c r="AP1014"/>
  <c r="AM1014"/>
  <c r="AL1014"/>
  <c r="AK1014"/>
  <c r="AH1014"/>
  <c r="AG1014"/>
  <c r="AF1014"/>
  <c r="AA1014"/>
  <c r="AA227"/>
  <c r="O1014"/>
  <c r="M1014"/>
  <c r="AE1014"/>
  <c r="AV1013"/>
  <c r="AU1013"/>
  <c r="AT1013"/>
  <c r="AS1013"/>
  <c r="AR1013"/>
  <c r="AP1013"/>
  <c r="AM1013"/>
  <c r="AL1013"/>
  <c r="AK1013"/>
  <c r="AH1013"/>
  <c r="AG1013"/>
  <c r="AF1013"/>
  <c r="AA1013"/>
  <c r="O1013"/>
  <c r="M1013"/>
  <c r="AE1013"/>
  <c r="AV1012"/>
  <c r="AT1012"/>
  <c r="AQ1012"/>
  <c r="AU1012"/>
  <c r="AP1012"/>
  <c r="AL1012"/>
  <c r="AD1012"/>
  <c r="AC1012"/>
  <c r="AA1012"/>
  <c r="Z1012"/>
  <c r="Y1012"/>
  <c r="AM1012"/>
  <c r="X1012"/>
  <c r="W1012"/>
  <c r="AK1012"/>
  <c r="V1012"/>
  <c r="AS1012"/>
  <c r="S1012"/>
  <c r="R1012"/>
  <c r="Q1012"/>
  <c r="P1012"/>
  <c r="O1012"/>
  <c r="AF1012"/>
  <c r="N1012"/>
  <c r="L1012"/>
  <c r="AP1011"/>
  <c r="AA1011"/>
  <c r="AV1010"/>
  <c r="AT1010"/>
  <c r="AQ1010"/>
  <c r="AQ1009"/>
  <c r="AP1010"/>
  <c r="AC1010"/>
  <c r="AA1010"/>
  <c r="Z1010"/>
  <c r="Y1010"/>
  <c r="W1010"/>
  <c r="AK1010"/>
  <c r="V1010"/>
  <c r="AS1010"/>
  <c r="R1010"/>
  <c r="Q1010"/>
  <c r="P1010"/>
  <c r="L1010"/>
  <c r="L1009"/>
  <c r="L1007"/>
  <c r="L983"/>
  <c r="L981"/>
  <c r="AP1009"/>
  <c r="AC1009"/>
  <c r="AA1009"/>
  <c r="Y1009"/>
  <c r="R1009"/>
  <c r="AP1008"/>
  <c r="AA1008"/>
  <c r="AP1007"/>
  <c r="AC1007"/>
  <c r="AA1007"/>
  <c r="Y1007"/>
  <c r="R1007"/>
  <c r="AP1006"/>
  <c r="AA1006"/>
  <c r="AV1005"/>
  <c r="AT1005"/>
  <c r="AR1005"/>
  <c r="AP1005"/>
  <c r="AK1005"/>
  <c r="AA1005"/>
  <c r="O1005"/>
  <c r="AV1004"/>
  <c r="AU1004"/>
  <c r="AT1004"/>
  <c r="AS1004"/>
  <c r="AR1004"/>
  <c r="AP1004"/>
  <c r="AM1004"/>
  <c r="AL1004"/>
  <c r="AK1004"/>
  <c r="AH1004"/>
  <c r="AG1004"/>
  <c r="AF1004"/>
  <c r="AA1004"/>
  <c r="O1004"/>
  <c r="AE1004"/>
  <c r="M1004"/>
  <c r="AV1003"/>
  <c r="AU1003"/>
  <c r="AT1003"/>
  <c r="AS1003"/>
  <c r="AR1003"/>
  <c r="AP1003"/>
  <c r="AM1003"/>
  <c r="AL1003"/>
  <c r="AK1003"/>
  <c r="AH1003"/>
  <c r="AG1003"/>
  <c r="AF1003"/>
  <c r="AA1003"/>
  <c r="O1003"/>
  <c r="AE1003"/>
  <c r="M1003"/>
  <c r="AV1002"/>
  <c r="AU1002"/>
  <c r="AT1002"/>
  <c r="AS1002"/>
  <c r="AR1002"/>
  <c r="AP1002"/>
  <c r="AM1002"/>
  <c r="AL1002"/>
  <c r="AK1002"/>
  <c r="AH1002"/>
  <c r="AG1002"/>
  <c r="AF1002"/>
  <c r="AA1002"/>
  <c r="O1002"/>
  <c r="O1001"/>
  <c r="M1002"/>
  <c r="AR1001"/>
  <c r="AQ1001"/>
  <c r="AP1001"/>
  <c r="AD1001"/>
  <c r="AC1001"/>
  <c r="AH1001"/>
  <c r="AA1001"/>
  <c r="Z1001"/>
  <c r="Z1000"/>
  <c r="Y1001"/>
  <c r="X1001"/>
  <c r="AM1001"/>
  <c r="W1001"/>
  <c r="V1001"/>
  <c r="S1001"/>
  <c r="R1001"/>
  <c r="AV1001"/>
  <c r="Q1001"/>
  <c r="P1001"/>
  <c r="P1000"/>
  <c r="N1001"/>
  <c r="M1001"/>
  <c r="M1000"/>
  <c r="L1001"/>
  <c r="AQ1000"/>
  <c r="AP1000"/>
  <c r="AD1000"/>
  <c r="AD986"/>
  <c r="AD984"/>
  <c r="AD983"/>
  <c r="AD981"/>
  <c r="AA1000"/>
  <c r="Y1000"/>
  <c r="AM1000"/>
  <c r="X1000"/>
  <c r="V1000"/>
  <c r="S1000"/>
  <c r="Q1000"/>
  <c r="N1000"/>
  <c r="L1000"/>
  <c r="AP999"/>
  <c r="AA999"/>
  <c r="AV998"/>
  <c r="AU998"/>
  <c r="AT998"/>
  <c r="AS998"/>
  <c r="AR998"/>
  <c r="AP998"/>
  <c r="AM998"/>
  <c r="AL998"/>
  <c r="AK998"/>
  <c r="AH998"/>
  <c r="AG998"/>
  <c r="AA998"/>
  <c r="O998"/>
  <c r="M998"/>
  <c r="AV997"/>
  <c r="AU997"/>
  <c r="AT997"/>
  <c r="AS997"/>
  <c r="AR997"/>
  <c r="AP997"/>
  <c r="AM997"/>
  <c r="AL997"/>
  <c r="AK997"/>
  <c r="AH997"/>
  <c r="AG997"/>
  <c r="AA997"/>
  <c r="O997"/>
  <c r="M997"/>
  <c r="AP996"/>
  <c r="AA996"/>
  <c r="AR995"/>
  <c r="AQ995"/>
  <c r="AP995"/>
  <c r="AD995"/>
  <c r="AC995"/>
  <c r="AH995"/>
  <c r="AA995"/>
  <c r="Z995"/>
  <c r="Y995"/>
  <c r="X995"/>
  <c r="AM995"/>
  <c r="W995"/>
  <c r="V995"/>
  <c r="S995"/>
  <c r="R995"/>
  <c r="AV995"/>
  <c r="Q995"/>
  <c r="P995"/>
  <c r="AG995"/>
  <c r="N995"/>
  <c r="M995"/>
  <c r="L995"/>
  <c r="AP994"/>
  <c r="AA994"/>
  <c r="AV993"/>
  <c r="AU993"/>
  <c r="AT993"/>
  <c r="AS993"/>
  <c r="AR993"/>
  <c r="AP993"/>
  <c r="AM993"/>
  <c r="AL993"/>
  <c r="AK993"/>
  <c r="AH993"/>
  <c r="AG993"/>
  <c r="AE993"/>
  <c r="AA993"/>
  <c r="O993"/>
  <c r="O992"/>
  <c r="M993"/>
  <c r="AR992"/>
  <c r="AQ992"/>
  <c r="AP992"/>
  <c r="AF992"/>
  <c r="AD992"/>
  <c r="AC992"/>
  <c r="AH992"/>
  <c r="AA992"/>
  <c r="Z992"/>
  <c r="Y992"/>
  <c r="X992"/>
  <c r="AM992"/>
  <c r="W992"/>
  <c r="W987"/>
  <c r="V992"/>
  <c r="S992"/>
  <c r="R992"/>
  <c r="AV992"/>
  <c r="Q992"/>
  <c r="P992"/>
  <c r="AG992"/>
  <c r="N992"/>
  <c r="M992"/>
  <c r="L992"/>
  <c r="AP991"/>
  <c r="AA991"/>
  <c r="AV990"/>
  <c r="AU990"/>
  <c r="AT990"/>
  <c r="AS990"/>
  <c r="AR990"/>
  <c r="AP990"/>
  <c r="AM990"/>
  <c r="AL990"/>
  <c r="AK990"/>
  <c r="AH990"/>
  <c r="AG990"/>
  <c r="AE990"/>
  <c r="AA990"/>
  <c r="O990"/>
  <c r="O989"/>
  <c r="M990"/>
  <c r="AR989"/>
  <c r="AQ989"/>
  <c r="AP989"/>
  <c r="AF989"/>
  <c r="AD989"/>
  <c r="AC989"/>
  <c r="AH989"/>
  <c r="AA989"/>
  <c r="Z989"/>
  <c r="Y989"/>
  <c r="X989"/>
  <c r="AM989"/>
  <c r="W989"/>
  <c r="V989"/>
  <c r="S989"/>
  <c r="R989"/>
  <c r="AV989"/>
  <c r="Q989"/>
  <c r="P989"/>
  <c r="AG989"/>
  <c r="N989"/>
  <c r="M989"/>
  <c r="M987"/>
  <c r="M986"/>
  <c r="M984"/>
  <c r="L989"/>
  <c r="AP988"/>
  <c r="AA988"/>
  <c r="AR987"/>
  <c r="AQ987"/>
  <c r="AP987"/>
  <c r="AD987"/>
  <c r="AC987"/>
  <c r="AH987"/>
  <c r="AA987"/>
  <c r="Z987"/>
  <c r="Y987"/>
  <c r="X987"/>
  <c r="AM987"/>
  <c r="V987"/>
  <c r="S987"/>
  <c r="R987"/>
  <c r="AV987"/>
  <c r="Q987"/>
  <c r="P987"/>
  <c r="N987"/>
  <c r="L987"/>
  <c r="AQ986"/>
  <c r="AP986"/>
  <c r="AA986"/>
  <c r="Y986"/>
  <c r="AM986"/>
  <c r="X986"/>
  <c r="V986"/>
  <c r="S986"/>
  <c r="S984"/>
  <c r="S983"/>
  <c r="S981"/>
  <c r="Q986"/>
  <c r="N986"/>
  <c r="L986"/>
  <c r="AP985"/>
  <c r="AA985"/>
  <c r="AQ984"/>
  <c r="AP984"/>
  <c r="AA984"/>
  <c r="Y984"/>
  <c r="AM984"/>
  <c r="X984"/>
  <c r="V984"/>
  <c r="Q984"/>
  <c r="N984"/>
  <c r="N983"/>
  <c r="N981"/>
  <c r="L984"/>
  <c r="AP983"/>
  <c r="AA983"/>
  <c r="AP982"/>
  <c r="AA982"/>
  <c r="AP981"/>
  <c r="AA981"/>
  <c r="AP980"/>
  <c r="AA980"/>
  <c r="AP979"/>
  <c r="AA979"/>
  <c r="S979"/>
  <c r="AV978"/>
  <c r="AU978"/>
  <c r="AT978"/>
  <c r="AS978"/>
  <c r="AR978"/>
  <c r="AP978"/>
  <c r="AM978"/>
  <c r="AL978"/>
  <c r="AK978"/>
  <c r="AA978"/>
  <c r="S978"/>
  <c r="O978"/>
  <c r="AE978"/>
  <c r="M978"/>
  <c r="M977"/>
  <c r="M976"/>
  <c r="M975"/>
  <c r="M973"/>
  <c r="M972"/>
  <c r="AU977"/>
  <c r="AQ977"/>
  <c r="AV977"/>
  <c r="AP977"/>
  <c r="AK977"/>
  <c r="AD977"/>
  <c r="AC977"/>
  <c r="AA977"/>
  <c r="Z977"/>
  <c r="Y977"/>
  <c r="AM977"/>
  <c r="X977"/>
  <c r="W977"/>
  <c r="W976"/>
  <c r="V977"/>
  <c r="V976"/>
  <c r="V975"/>
  <c r="R977"/>
  <c r="R976"/>
  <c r="Q977"/>
  <c r="Q976"/>
  <c r="Q975"/>
  <c r="Q973"/>
  <c r="Q972"/>
  <c r="P977"/>
  <c r="P976"/>
  <c r="P975"/>
  <c r="P973"/>
  <c r="P972"/>
  <c r="O977"/>
  <c r="N977"/>
  <c r="L977"/>
  <c r="L976"/>
  <c r="L975"/>
  <c r="AP976"/>
  <c r="AD976"/>
  <c r="AC976"/>
  <c r="AC975"/>
  <c r="AC973"/>
  <c r="AC972"/>
  <c r="AA976"/>
  <c r="Z976"/>
  <c r="Z975"/>
  <c r="Z973"/>
  <c r="Z972"/>
  <c r="X976"/>
  <c r="O976"/>
  <c r="N976"/>
  <c r="AP975"/>
  <c r="AD975"/>
  <c r="AD973"/>
  <c r="AD972"/>
  <c r="AA975"/>
  <c r="X975"/>
  <c r="R975"/>
  <c r="R973"/>
  <c r="R972"/>
  <c r="O975"/>
  <c r="N975"/>
  <c r="AP974"/>
  <c r="AA974"/>
  <c r="S974"/>
  <c r="AP973"/>
  <c r="AA973"/>
  <c r="V973"/>
  <c r="O973"/>
  <c r="AE973"/>
  <c r="N973"/>
  <c r="N972"/>
  <c r="L973"/>
  <c r="L972"/>
  <c r="AP972"/>
  <c r="AA972"/>
  <c r="O972"/>
  <c r="AP971"/>
  <c r="AA971"/>
  <c r="S971"/>
  <c r="AP970"/>
  <c r="AA970"/>
  <c r="S970"/>
  <c r="AP969"/>
  <c r="AA969"/>
  <c r="S969"/>
  <c r="AQ968"/>
  <c r="AP968"/>
  <c r="AD968"/>
  <c r="AC968"/>
  <c r="AC966"/>
  <c r="AA968"/>
  <c r="Z968"/>
  <c r="Z966"/>
  <c r="Y968"/>
  <c r="X968"/>
  <c r="X966"/>
  <c r="X965"/>
  <c r="W968"/>
  <c r="V968"/>
  <c r="V966"/>
  <c r="R968"/>
  <c r="R966"/>
  <c r="Q968"/>
  <c r="P968"/>
  <c r="P966"/>
  <c r="O968"/>
  <c r="N968"/>
  <c r="N966"/>
  <c r="N965"/>
  <c r="M968"/>
  <c r="L968"/>
  <c r="L966"/>
  <c r="AP967"/>
  <c r="AA967"/>
  <c r="S967"/>
  <c r="AQ966"/>
  <c r="AQ965"/>
  <c r="AP966"/>
  <c r="AD966"/>
  <c r="AD963"/>
  <c r="AA966"/>
  <c r="Y966"/>
  <c r="W966"/>
  <c r="W965"/>
  <c r="Q966"/>
  <c r="O966"/>
  <c r="M966"/>
  <c r="M965"/>
  <c r="AP965"/>
  <c r="AD965"/>
  <c r="AA965"/>
  <c r="Q965"/>
  <c r="AP964"/>
  <c r="AA964"/>
  <c r="S964"/>
  <c r="AP963"/>
  <c r="AA963"/>
  <c r="Q963"/>
  <c r="N963"/>
  <c r="AP962"/>
  <c r="AA962"/>
  <c r="S962"/>
  <c r="AP961"/>
  <c r="AA961"/>
  <c r="S961"/>
  <c r="AU960"/>
  <c r="AS960"/>
  <c r="AP960"/>
  <c r="AM960"/>
  <c r="AL960"/>
  <c r="AE960"/>
  <c r="AA960"/>
  <c r="S960"/>
  <c r="M960"/>
  <c r="AP959"/>
  <c r="AA959"/>
  <c r="S959"/>
  <c r="AV958"/>
  <c r="AT958"/>
  <c r="AR958"/>
  <c r="AP958"/>
  <c r="AK958"/>
  <c r="AA958"/>
  <c r="S958"/>
  <c r="M958"/>
  <c r="AE958"/>
  <c r="AV957"/>
  <c r="AT957"/>
  <c r="AR957"/>
  <c r="AP957"/>
  <c r="AK957"/>
  <c r="AA957"/>
  <c r="S957"/>
  <c r="M957"/>
  <c r="AE957"/>
  <c r="AP956"/>
  <c r="AA956"/>
  <c r="S956"/>
  <c r="AP955"/>
  <c r="AA955"/>
  <c r="S955"/>
  <c r="AP954"/>
  <c r="AA954"/>
  <c r="S954"/>
  <c r="AV953"/>
  <c r="AU953"/>
  <c r="AT953"/>
  <c r="AS953"/>
  <c r="AR953"/>
  <c r="AP953"/>
  <c r="AM953"/>
  <c r="AL953"/>
  <c r="AK953"/>
  <c r="AH953"/>
  <c r="AG953"/>
  <c r="AA953"/>
  <c r="S953"/>
  <c r="O953"/>
  <c r="AF953"/>
  <c r="M953"/>
  <c r="AE953"/>
  <c r="AU952"/>
  <c r="AR952"/>
  <c r="AQ952"/>
  <c r="AV952"/>
  <c r="AP952"/>
  <c r="AM952"/>
  <c r="AK952"/>
  <c r="AH952"/>
  <c r="AG952"/>
  <c r="AF952"/>
  <c r="AA952"/>
  <c r="Z952"/>
  <c r="Z951"/>
  <c r="Y952"/>
  <c r="Y951"/>
  <c r="Y950"/>
  <c r="X952"/>
  <c r="X951"/>
  <c r="W952"/>
  <c r="AT952"/>
  <c r="V952"/>
  <c r="AS952"/>
  <c r="R952"/>
  <c r="O952"/>
  <c r="O951"/>
  <c r="M952"/>
  <c r="AQ951"/>
  <c r="AQ950"/>
  <c r="AP951"/>
  <c r="AM951"/>
  <c r="AD951"/>
  <c r="AC951"/>
  <c r="AA951"/>
  <c r="W951"/>
  <c r="AU951"/>
  <c r="V951"/>
  <c r="V950"/>
  <c r="R951"/>
  <c r="Q951"/>
  <c r="P951"/>
  <c r="AG951"/>
  <c r="N951"/>
  <c r="L951"/>
  <c r="L950"/>
  <c r="L949"/>
  <c r="L947"/>
  <c r="AP950"/>
  <c r="AD950"/>
  <c r="AD949"/>
  <c r="AD947"/>
  <c r="AA950"/>
  <c r="Z950"/>
  <c r="Z949"/>
  <c r="Z947"/>
  <c r="Q950"/>
  <c r="P950"/>
  <c r="N950"/>
  <c r="AP949"/>
  <c r="AA949"/>
  <c r="Q949"/>
  <c r="Q947"/>
  <c r="N949"/>
  <c r="N947"/>
  <c r="AP948"/>
  <c r="AA948"/>
  <c r="S948"/>
  <c r="AP947"/>
  <c r="AA947"/>
  <c r="AP946"/>
  <c r="AA946"/>
  <c r="S946"/>
  <c r="AV945"/>
  <c r="AU945"/>
  <c r="AT945"/>
  <c r="AS945"/>
  <c r="AR945"/>
  <c r="AP945"/>
  <c r="AM945"/>
  <c r="AL945"/>
  <c r="AK945"/>
  <c r="AH945"/>
  <c r="AG945"/>
  <c r="AF945"/>
  <c r="AA945"/>
  <c r="S945"/>
  <c r="O945"/>
  <c r="AE945"/>
  <c r="M945"/>
  <c r="AV944"/>
  <c r="AU944"/>
  <c r="AT944"/>
  <c r="AS944"/>
  <c r="AR944"/>
  <c r="AP944"/>
  <c r="AM944"/>
  <c r="AL944"/>
  <c r="AK944"/>
  <c r="AH944"/>
  <c r="AG944"/>
  <c r="AA944"/>
  <c r="S944"/>
  <c r="O944"/>
  <c r="AF944"/>
  <c r="M944"/>
  <c r="AQ943"/>
  <c r="AV943"/>
  <c r="AP943"/>
  <c r="AM943"/>
  <c r="AD943"/>
  <c r="AC943"/>
  <c r="AH943"/>
  <c r="AA943"/>
  <c r="Z943"/>
  <c r="Y943"/>
  <c r="X943"/>
  <c r="AL943"/>
  <c r="W943"/>
  <c r="AU943"/>
  <c r="V943"/>
  <c r="R943"/>
  <c r="AR943"/>
  <c r="Q943"/>
  <c r="P943"/>
  <c r="AG943"/>
  <c r="N943"/>
  <c r="L943"/>
  <c r="AP942"/>
  <c r="AA942"/>
  <c r="S942"/>
  <c r="AV941"/>
  <c r="AU941"/>
  <c r="AT941"/>
  <c r="AS941"/>
  <c r="AR941"/>
  <c r="AP941"/>
  <c r="AM941"/>
  <c r="AL941"/>
  <c r="AK941"/>
  <c r="AH941"/>
  <c r="AG941"/>
  <c r="AF941"/>
  <c r="AA941"/>
  <c r="S941"/>
  <c r="O941"/>
  <c r="M941"/>
  <c r="AE941"/>
  <c r="AU940"/>
  <c r="AS940"/>
  <c r="AP940"/>
  <c r="AM940"/>
  <c r="AL940"/>
  <c r="AA940"/>
  <c r="S940"/>
  <c r="O940"/>
  <c r="AU939"/>
  <c r="AS939"/>
  <c r="AP939"/>
  <c r="AM939"/>
  <c r="AL939"/>
  <c r="AH939"/>
  <c r="AG939"/>
  <c r="AA939"/>
  <c r="S939"/>
  <c r="O939"/>
  <c r="AV938"/>
  <c r="AU938"/>
  <c r="AT938"/>
  <c r="AS938"/>
  <c r="AR938"/>
  <c r="AP938"/>
  <c r="AM938"/>
  <c r="AL938"/>
  <c r="AK938"/>
  <c r="AH938"/>
  <c r="AG938"/>
  <c r="AF938"/>
  <c r="AA938"/>
  <c r="S938"/>
  <c r="O938"/>
  <c r="AE938"/>
  <c r="M938"/>
  <c r="M937"/>
  <c r="AT937"/>
  <c r="AQ937"/>
  <c r="AU937"/>
  <c r="AP937"/>
  <c r="AH937"/>
  <c r="AD937"/>
  <c r="AC937"/>
  <c r="AC935"/>
  <c r="AA937"/>
  <c r="AA286"/>
  <c r="Z937"/>
  <c r="Y937"/>
  <c r="X937"/>
  <c r="W937"/>
  <c r="W935"/>
  <c r="V937"/>
  <c r="R937"/>
  <c r="AR937"/>
  <c r="Q937"/>
  <c r="Q935"/>
  <c r="P937"/>
  <c r="O937"/>
  <c r="N937"/>
  <c r="L937"/>
  <c r="AP936"/>
  <c r="AA936"/>
  <c r="S936"/>
  <c r="AU935"/>
  <c r="AQ935"/>
  <c r="AP935"/>
  <c r="AD935"/>
  <c r="AD934"/>
  <c r="AD933"/>
  <c r="AD931"/>
  <c r="AD930"/>
  <c r="AA935"/>
  <c r="Z935"/>
  <c r="Z934"/>
  <c r="Z933"/>
  <c r="Z931"/>
  <c r="X935"/>
  <c r="AL935"/>
  <c r="V935"/>
  <c r="P935"/>
  <c r="N935"/>
  <c r="L935"/>
  <c r="AQ934"/>
  <c r="AP934"/>
  <c r="AA934"/>
  <c r="X934"/>
  <c r="V934"/>
  <c r="N934"/>
  <c r="N933"/>
  <c r="N931"/>
  <c r="N930"/>
  <c r="L934"/>
  <c r="AQ933"/>
  <c r="AP933"/>
  <c r="AA933"/>
  <c r="V933"/>
  <c r="L933"/>
  <c r="L931"/>
  <c r="AP932"/>
  <c r="AA932"/>
  <c r="S932"/>
  <c r="AP931"/>
  <c r="AA931"/>
  <c r="AP930"/>
  <c r="AA930"/>
  <c r="AP929"/>
  <c r="AA929"/>
  <c r="S929"/>
  <c r="AP928"/>
  <c r="AA928"/>
  <c r="S928"/>
  <c r="S927"/>
  <c r="AQ927"/>
  <c r="AP927"/>
  <c r="AD927"/>
  <c r="AD926"/>
  <c r="AD925"/>
  <c r="AD924"/>
  <c r="AD922"/>
  <c r="AD905"/>
  <c r="AC927"/>
  <c r="AA927"/>
  <c r="AA280"/>
  <c r="Z927"/>
  <c r="Y927"/>
  <c r="X927"/>
  <c r="X926"/>
  <c r="X925"/>
  <c r="X924"/>
  <c r="W927"/>
  <c r="V927"/>
  <c r="R927"/>
  <c r="Q927"/>
  <c r="Q926"/>
  <c r="Q925"/>
  <c r="P927"/>
  <c r="O927"/>
  <c r="N927"/>
  <c r="N926"/>
  <c r="N925"/>
  <c r="N924"/>
  <c r="M927"/>
  <c r="L927"/>
  <c r="AQ926"/>
  <c r="AQ925"/>
  <c r="AQ924"/>
  <c r="AQ922"/>
  <c r="AP926"/>
  <c r="AC926"/>
  <c r="AA926"/>
  <c r="Z926"/>
  <c r="Z925"/>
  <c r="Z924"/>
  <c r="Z922"/>
  <c r="Y926"/>
  <c r="W926"/>
  <c r="W925"/>
  <c r="W924"/>
  <c r="W922"/>
  <c r="V926"/>
  <c r="R926"/>
  <c r="P926"/>
  <c r="P925"/>
  <c r="P924"/>
  <c r="P922"/>
  <c r="O926"/>
  <c r="M926"/>
  <c r="M925"/>
  <c r="M924"/>
  <c r="M922"/>
  <c r="L926"/>
  <c r="AP925"/>
  <c r="AC925"/>
  <c r="AC924"/>
  <c r="AC922"/>
  <c r="AA925"/>
  <c r="Y925"/>
  <c r="Y924"/>
  <c r="Y922"/>
  <c r="V925"/>
  <c r="R925"/>
  <c r="R924"/>
  <c r="R922"/>
  <c r="O925"/>
  <c r="O924"/>
  <c r="O922"/>
  <c r="L925"/>
  <c r="AP924"/>
  <c r="AA924"/>
  <c r="V924"/>
  <c r="V922"/>
  <c r="Q924"/>
  <c r="Q922"/>
  <c r="L924"/>
  <c r="L922"/>
  <c r="AP923"/>
  <c r="AA923"/>
  <c r="S923"/>
  <c r="AP922"/>
  <c r="AA922"/>
  <c r="X922"/>
  <c r="N922"/>
  <c r="AP921"/>
  <c r="AA921"/>
  <c r="S921"/>
  <c r="AP920"/>
  <c r="AA920"/>
  <c r="S920"/>
  <c r="AP919"/>
  <c r="AA919"/>
  <c r="S919"/>
  <c r="AQ918"/>
  <c r="AP918"/>
  <c r="AD918"/>
  <c r="AC918"/>
  <c r="AA918"/>
  <c r="Z918"/>
  <c r="Y918"/>
  <c r="Y917"/>
  <c r="Y916"/>
  <c r="X918"/>
  <c r="W918"/>
  <c r="V918"/>
  <c r="V917"/>
  <c r="V916"/>
  <c r="R918"/>
  <c r="Q918"/>
  <c r="Q917"/>
  <c r="Q916"/>
  <c r="P918"/>
  <c r="O918"/>
  <c r="O917"/>
  <c r="O916"/>
  <c r="N918"/>
  <c r="M918"/>
  <c r="L918"/>
  <c r="L917"/>
  <c r="L916"/>
  <c r="AQ917"/>
  <c r="AP917"/>
  <c r="AD917"/>
  <c r="AD916"/>
  <c r="AC917"/>
  <c r="AA917"/>
  <c r="Z917"/>
  <c r="X917"/>
  <c r="X916"/>
  <c r="W917"/>
  <c r="R917"/>
  <c r="P917"/>
  <c r="N917"/>
  <c r="N916"/>
  <c r="M917"/>
  <c r="AQ916"/>
  <c r="AP916"/>
  <c r="AC916"/>
  <c r="AA916"/>
  <c r="Z916"/>
  <c r="W916"/>
  <c r="R916"/>
  <c r="P916"/>
  <c r="M916"/>
  <c r="AP915"/>
  <c r="AA915"/>
  <c r="S915"/>
  <c r="AP914"/>
  <c r="AM914"/>
  <c r="AA914"/>
  <c r="S914"/>
  <c r="O914"/>
  <c r="AV913"/>
  <c r="AU913"/>
  <c r="AT913"/>
  <c r="AS913"/>
  <c r="AR913"/>
  <c r="AP913"/>
  <c r="AM913"/>
  <c r="AL913"/>
  <c r="AK913"/>
  <c r="AA913"/>
  <c r="S913"/>
  <c r="O913"/>
  <c r="AV912"/>
  <c r="AU912"/>
  <c r="AT912"/>
  <c r="AS912"/>
  <c r="AR912"/>
  <c r="AP912"/>
  <c r="AM912"/>
  <c r="AL912"/>
  <c r="AK912"/>
  <c r="AH912"/>
  <c r="AG912"/>
  <c r="AA912"/>
  <c r="S912"/>
  <c r="O912"/>
  <c r="AE912"/>
  <c r="M912"/>
  <c r="AU911"/>
  <c r="AS911"/>
  <c r="AQ911"/>
  <c r="AV911"/>
  <c r="AP911"/>
  <c r="AK911"/>
  <c r="AD911"/>
  <c r="AD910"/>
  <c r="AD909"/>
  <c r="AD908"/>
  <c r="AC911"/>
  <c r="AH911"/>
  <c r="AA911"/>
  <c r="Z911"/>
  <c r="Z910"/>
  <c r="Z909"/>
  <c r="Z908"/>
  <c r="Y911"/>
  <c r="AM911"/>
  <c r="X911"/>
  <c r="AL911"/>
  <c r="W911"/>
  <c r="AT911"/>
  <c r="V911"/>
  <c r="AR911"/>
  <c r="R911"/>
  <c r="Q911"/>
  <c r="P911"/>
  <c r="N911"/>
  <c r="M911"/>
  <c r="M910"/>
  <c r="M909"/>
  <c r="L911"/>
  <c r="AV910"/>
  <c r="AQ910"/>
  <c r="AP910"/>
  <c r="AC910"/>
  <c r="AA910"/>
  <c r="Y910"/>
  <c r="X910"/>
  <c r="V910"/>
  <c r="AR910"/>
  <c r="R910"/>
  <c r="Q910"/>
  <c r="Q909"/>
  <c r="N910"/>
  <c r="N909"/>
  <c r="N908"/>
  <c r="N906"/>
  <c r="N905"/>
  <c r="L910"/>
  <c r="AQ909"/>
  <c r="AP909"/>
  <c r="AC909"/>
  <c r="AA909"/>
  <c r="Y909"/>
  <c r="V909"/>
  <c r="R909"/>
  <c r="L909"/>
  <c r="L908"/>
  <c r="L906"/>
  <c r="AP908"/>
  <c r="AA908"/>
  <c r="R908"/>
  <c r="R906"/>
  <c r="R905"/>
  <c r="M908"/>
  <c r="M906"/>
  <c r="AP907"/>
  <c r="AA907"/>
  <c r="S907"/>
  <c r="AP906"/>
  <c r="AD906"/>
  <c r="AA906"/>
  <c r="Z906"/>
  <c r="Z905"/>
  <c r="AP905"/>
  <c r="AA905"/>
  <c r="L905"/>
  <c r="AP904"/>
  <c r="AA904"/>
  <c r="S904"/>
  <c r="AV903"/>
  <c r="AU903"/>
  <c r="AT903"/>
  <c r="AS903"/>
  <c r="AR903"/>
  <c r="AP903"/>
  <c r="AM903"/>
  <c r="AL903"/>
  <c r="AK903"/>
  <c r="AE903"/>
  <c r="AA903"/>
  <c r="S903"/>
  <c r="M903"/>
  <c r="AP902"/>
  <c r="AA902"/>
  <c r="S902"/>
  <c r="AV901"/>
  <c r="AT901"/>
  <c r="AR901"/>
  <c r="AP901"/>
  <c r="AK901"/>
  <c r="AE901"/>
  <c r="AA901"/>
  <c r="S901"/>
  <c r="M901"/>
  <c r="AP900"/>
  <c r="AA900"/>
  <c r="S900"/>
  <c r="AV899"/>
  <c r="AT899"/>
  <c r="AR899"/>
  <c r="AP899"/>
  <c r="AK899"/>
  <c r="AE899"/>
  <c r="AA899"/>
  <c r="S899"/>
  <c r="M899"/>
  <c r="AV898"/>
  <c r="AT898"/>
  <c r="AR898"/>
  <c r="AP898"/>
  <c r="AK898"/>
  <c r="AE898"/>
  <c r="AA898"/>
  <c r="S898"/>
  <c r="M898"/>
  <c r="AV897"/>
  <c r="AT897"/>
  <c r="AR897"/>
  <c r="AP897"/>
  <c r="AK897"/>
  <c r="AA897"/>
  <c r="S897"/>
  <c r="M897"/>
  <c r="AE897"/>
  <c r="AV896"/>
  <c r="AT896"/>
  <c r="AR896"/>
  <c r="AP896"/>
  <c r="AK896"/>
  <c r="AE896"/>
  <c r="AA896"/>
  <c r="S896"/>
  <c r="S895"/>
  <c r="S894"/>
  <c r="S893"/>
  <c r="S892"/>
  <c r="S890"/>
  <c r="M896"/>
  <c r="AU895"/>
  <c r="AR895"/>
  <c r="AQ895"/>
  <c r="AV895"/>
  <c r="AP895"/>
  <c r="AH895"/>
  <c r="AG895"/>
  <c r="AA895"/>
  <c r="Z895"/>
  <c r="Y895"/>
  <c r="AM895"/>
  <c r="X895"/>
  <c r="W895"/>
  <c r="AK895"/>
  <c r="V895"/>
  <c r="R895"/>
  <c r="R894"/>
  <c r="O895"/>
  <c r="AF895"/>
  <c r="M895"/>
  <c r="AQ894"/>
  <c r="AV894"/>
  <c r="AP894"/>
  <c r="AH894"/>
  <c r="AD894"/>
  <c r="AC894"/>
  <c r="AA894"/>
  <c r="Z894"/>
  <c r="Z893"/>
  <c r="Z892"/>
  <c r="Z890"/>
  <c r="Y894"/>
  <c r="V894"/>
  <c r="V893"/>
  <c r="Q894"/>
  <c r="P894"/>
  <c r="O894"/>
  <c r="N894"/>
  <c r="M894"/>
  <c r="L894"/>
  <c r="L893"/>
  <c r="L892"/>
  <c r="L890"/>
  <c r="AP893"/>
  <c r="AD893"/>
  <c r="AC893"/>
  <c r="AH893"/>
  <c r="AA893"/>
  <c r="Q893"/>
  <c r="N893"/>
  <c r="N892"/>
  <c r="M893"/>
  <c r="M892"/>
  <c r="AP892"/>
  <c r="AD892"/>
  <c r="AD890"/>
  <c r="AA892"/>
  <c r="V892"/>
  <c r="Q892"/>
  <c r="AS891"/>
  <c r="AP891"/>
  <c r="AA891"/>
  <c r="S891"/>
  <c r="AP890"/>
  <c r="AA890"/>
  <c r="Q890"/>
  <c r="N890"/>
  <c r="M890"/>
  <c r="AP889"/>
  <c r="AA889"/>
  <c r="S889"/>
  <c r="AV888"/>
  <c r="AU888"/>
  <c r="AT888"/>
  <c r="AS888"/>
  <c r="AR888"/>
  <c r="AP888"/>
  <c r="AM888"/>
  <c r="AL888"/>
  <c r="AK888"/>
  <c r="AA888"/>
  <c r="S888"/>
  <c r="S887"/>
  <c r="S886"/>
  <c r="S885"/>
  <c r="S884"/>
  <c r="S882"/>
  <c r="O888"/>
  <c r="AU887"/>
  <c r="AQ887"/>
  <c r="AV887"/>
  <c r="AP887"/>
  <c r="AK887"/>
  <c r="AD887"/>
  <c r="AD886"/>
  <c r="AC887"/>
  <c r="AC886"/>
  <c r="AC885"/>
  <c r="AC884"/>
  <c r="AC882"/>
  <c r="AA887"/>
  <c r="Z887"/>
  <c r="Y887"/>
  <c r="Y886"/>
  <c r="X887"/>
  <c r="W887"/>
  <c r="V887"/>
  <c r="AS887"/>
  <c r="R887"/>
  <c r="AT887"/>
  <c r="Q887"/>
  <c r="P887"/>
  <c r="O887"/>
  <c r="O886"/>
  <c r="O885"/>
  <c r="O884"/>
  <c r="O882"/>
  <c r="N887"/>
  <c r="N886"/>
  <c r="N885"/>
  <c r="N884"/>
  <c r="N882"/>
  <c r="M887"/>
  <c r="L887"/>
  <c r="AQ886"/>
  <c r="AP886"/>
  <c r="AA886"/>
  <c r="Z886"/>
  <c r="Z885"/>
  <c r="Z884"/>
  <c r="Z882"/>
  <c r="W886"/>
  <c r="V886"/>
  <c r="V885"/>
  <c r="Q886"/>
  <c r="Q885"/>
  <c r="Q884"/>
  <c r="P886"/>
  <c r="P885"/>
  <c r="P884"/>
  <c r="P882"/>
  <c r="M886"/>
  <c r="M885"/>
  <c r="L886"/>
  <c r="L885"/>
  <c r="L884"/>
  <c r="L882"/>
  <c r="L873"/>
  <c r="AP885"/>
  <c r="AD885"/>
  <c r="AD884"/>
  <c r="AD882"/>
  <c r="AA885"/>
  <c r="AP884"/>
  <c r="AA884"/>
  <c r="V884"/>
  <c r="M884"/>
  <c r="M882"/>
  <c r="AP883"/>
  <c r="AA883"/>
  <c r="S883"/>
  <c r="AP882"/>
  <c r="AA882"/>
  <c r="Q882"/>
  <c r="AP881"/>
  <c r="AA881"/>
  <c r="S881"/>
  <c r="AV880"/>
  <c r="AU880"/>
  <c r="AT880"/>
  <c r="AS880"/>
  <c r="AR880"/>
  <c r="AP880"/>
  <c r="AM880"/>
  <c r="AL880"/>
  <c r="AK880"/>
  <c r="AH880"/>
  <c r="AG880"/>
  <c r="AA880"/>
  <c r="S880"/>
  <c r="S879"/>
  <c r="S878"/>
  <c r="S877"/>
  <c r="S876"/>
  <c r="S874"/>
  <c r="O880"/>
  <c r="M880"/>
  <c r="AT879"/>
  <c r="AQ879"/>
  <c r="AP879"/>
  <c r="AL879"/>
  <c r="AK879"/>
  <c r="AD879"/>
  <c r="AD878"/>
  <c r="AD877"/>
  <c r="AD876"/>
  <c r="AD874"/>
  <c r="AC879"/>
  <c r="AA879"/>
  <c r="Z879"/>
  <c r="Z878"/>
  <c r="Z877"/>
  <c r="Z876"/>
  <c r="Z874"/>
  <c r="Z873"/>
  <c r="Y879"/>
  <c r="AM879"/>
  <c r="X879"/>
  <c r="W879"/>
  <c r="V879"/>
  <c r="R879"/>
  <c r="Q879"/>
  <c r="AH879"/>
  <c r="P879"/>
  <c r="N879"/>
  <c r="M879"/>
  <c r="L879"/>
  <c r="L878"/>
  <c r="L877"/>
  <c r="L876"/>
  <c r="AP878"/>
  <c r="AM878"/>
  <c r="AL878"/>
  <c r="AC878"/>
  <c r="AA878"/>
  <c r="Y878"/>
  <c r="X878"/>
  <c r="X877"/>
  <c r="AL877"/>
  <c r="W878"/>
  <c r="R878"/>
  <c r="Q878"/>
  <c r="N878"/>
  <c r="N877"/>
  <c r="N876"/>
  <c r="N874"/>
  <c r="N873"/>
  <c r="M878"/>
  <c r="AP877"/>
  <c r="AA877"/>
  <c r="Y877"/>
  <c r="W877"/>
  <c r="M877"/>
  <c r="AP876"/>
  <c r="AA876"/>
  <c r="X876"/>
  <c r="X874"/>
  <c r="W876"/>
  <c r="M876"/>
  <c r="M874"/>
  <c r="M873"/>
  <c r="AP875"/>
  <c r="AA875"/>
  <c r="S875"/>
  <c r="AP874"/>
  <c r="AA874"/>
  <c r="L874"/>
  <c r="AP873"/>
  <c r="AA873"/>
  <c r="AU872"/>
  <c r="AS872"/>
  <c r="AP872"/>
  <c r="AM872"/>
  <c r="AL872"/>
  <c r="AA872"/>
  <c r="S872"/>
  <c r="S859"/>
  <c r="S858"/>
  <c r="S857"/>
  <c r="S856"/>
  <c r="S854"/>
  <c r="AV871"/>
  <c r="AT871"/>
  <c r="AR871"/>
  <c r="AP871"/>
  <c r="AK871"/>
  <c r="AA871"/>
  <c r="S871"/>
  <c r="M871"/>
  <c r="AE871"/>
  <c r="AP870"/>
  <c r="AA870"/>
  <c r="S870"/>
  <c r="AV869"/>
  <c r="AT869"/>
  <c r="AR869"/>
  <c r="AP869"/>
  <c r="AK869"/>
  <c r="AA869"/>
  <c r="S869"/>
  <c r="M869"/>
  <c r="AE869"/>
  <c r="AP868"/>
  <c r="AA868"/>
  <c r="S868"/>
  <c r="AV867"/>
  <c r="AT867"/>
  <c r="AR867"/>
  <c r="AP867"/>
  <c r="AK867"/>
  <c r="AA867"/>
  <c r="S867"/>
  <c r="M867"/>
  <c r="AE867"/>
  <c r="AV866"/>
  <c r="AT866"/>
  <c r="AR866"/>
  <c r="AP866"/>
  <c r="AK866"/>
  <c r="AA866"/>
  <c r="S866"/>
  <c r="AV865"/>
  <c r="AT865"/>
  <c r="AR865"/>
  <c r="AP865"/>
  <c r="AK865"/>
  <c r="AA865"/>
  <c r="S865"/>
  <c r="M865"/>
  <c r="AE865"/>
  <c r="AV864"/>
  <c r="AT864"/>
  <c r="AR864"/>
  <c r="AP864"/>
  <c r="AK864"/>
  <c r="AA864"/>
  <c r="S864"/>
  <c r="M864"/>
  <c r="AE864"/>
  <c r="AV863"/>
  <c r="AT863"/>
  <c r="AR863"/>
  <c r="AP863"/>
  <c r="AK863"/>
  <c r="AA863"/>
  <c r="S863"/>
  <c r="M863"/>
  <c r="AE863"/>
  <c r="AV862"/>
  <c r="AT862"/>
  <c r="AR862"/>
  <c r="AP862"/>
  <c r="AK862"/>
  <c r="AE862"/>
  <c r="AA862"/>
  <c r="S862"/>
  <c r="M862"/>
  <c r="AP861"/>
  <c r="AA861"/>
  <c r="Y859"/>
  <c r="Y858"/>
  <c r="Y857"/>
  <c r="S861"/>
  <c r="AV860"/>
  <c r="AT860"/>
  <c r="AR860"/>
  <c r="AP860"/>
  <c r="AK860"/>
  <c r="AA860"/>
  <c r="S860"/>
  <c r="AU859"/>
  <c r="AR859"/>
  <c r="AQ859"/>
  <c r="AQ858"/>
  <c r="AP859"/>
  <c r="AH859"/>
  <c r="AG859"/>
  <c r="AF859"/>
  <c r="AA859"/>
  <c r="X859"/>
  <c r="W859"/>
  <c r="AS859"/>
  <c r="V859"/>
  <c r="U859"/>
  <c r="T859"/>
  <c r="R859"/>
  <c r="O859"/>
  <c r="M859"/>
  <c r="AE859"/>
  <c r="AP858"/>
  <c r="AF858"/>
  <c r="AD858"/>
  <c r="AC858"/>
  <c r="AC857"/>
  <c r="AC856"/>
  <c r="AA858"/>
  <c r="V858"/>
  <c r="R858"/>
  <c r="R857"/>
  <c r="R856"/>
  <c r="Q858"/>
  <c r="P858"/>
  <c r="O858"/>
  <c r="O857"/>
  <c r="N858"/>
  <c r="N857"/>
  <c r="N856"/>
  <c r="N854"/>
  <c r="L858"/>
  <c r="AR857"/>
  <c r="AP857"/>
  <c r="AD857"/>
  <c r="AA857"/>
  <c r="V857"/>
  <c r="V856"/>
  <c r="P857"/>
  <c r="P856"/>
  <c r="P854"/>
  <c r="L857"/>
  <c r="L856"/>
  <c r="AR856"/>
  <c r="AP856"/>
  <c r="AD856"/>
  <c r="AD854"/>
  <c r="AA856"/>
  <c r="AP855"/>
  <c r="AA855"/>
  <c r="S855"/>
  <c r="AP854"/>
  <c r="AC854"/>
  <c r="AA854"/>
  <c r="V854"/>
  <c r="AR854"/>
  <c r="R854"/>
  <c r="L854"/>
  <c r="AP853"/>
  <c r="AA853"/>
  <c r="S853"/>
  <c r="AP852"/>
  <c r="AA852"/>
  <c r="S852"/>
  <c r="AP851"/>
  <c r="AE851"/>
  <c r="AA851"/>
  <c r="S851"/>
  <c r="M851"/>
  <c r="AV850"/>
  <c r="AU850"/>
  <c r="AT850"/>
  <c r="AR850"/>
  <c r="AP850"/>
  <c r="AM850"/>
  <c r="AL850"/>
  <c r="AK850"/>
  <c r="AA850"/>
  <c r="S850"/>
  <c r="AV849"/>
  <c r="AQ849"/>
  <c r="AP849"/>
  <c r="AD849"/>
  <c r="AD848"/>
  <c r="AD847"/>
  <c r="AD845"/>
  <c r="AC849"/>
  <c r="AC848"/>
  <c r="AA849"/>
  <c r="Z849"/>
  <c r="Y849"/>
  <c r="AM849"/>
  <c r="X849"/>
  <c r="X848"/>
  <c r="W849"/>
  <c r="AT849"/>
  <c r="V849"/>
  <c r="R849"/>
  <c r="AR849"/>
  <c r="Q849"/>
  <c r="Q848"/>
  <c r="Q847"/>
  <c r="Q845"/>
  <c r="P849"/>
  <c r="O849"/>
  <c r="N849"/>
  <c r="N848"/>
  <c r="M849"/>
  <c r="L849"/>
  <c r="AP848"/>
  <c r="AA848"/>
  <c r="Z848"/>
  <c r="Z847"/>
  <c r="Z845"/>
  <c r="Y848"/>
  <c r="Y847"/>
  <c r="V848"/>
  <c r="P848"/>
  <c r="P847"/>
  <c r="P845"/>
  <c r="O848"/>
  <c r="M848"/>
  <c r="L848"/>
  <c r="L847"/>
  <c r="AP847"/>
  <c r="AC847"/>
  <c r="AC845"/>
  <c r="AA847"/>
  <c r="X847"/>
  <c r="O847"/>
  <c r="N847"/>
  <c r="AP846"/>
  <c r="AA846"/>
  <c r="S846"/>
  <c r="AP845"/>
  <c r="AA845"/>
  <c r="X845"/>
  <c r="N845"/>
  <c r="L845"/>
  <c r="AP844"/>
  <c r="AA844"/>
  <c r="S844"/>
  <c r="AP843"/>
  <c r="AA843"/>
  <c r="S843"/>
  <c r="AV842"/>
  <c r="AU842"/>
  <c r="AT842"/>
  <c r="AS842"/>
  <c r="AR842"/>
  <c r="AP842"/>
  <c r="AM842"/>
  <c r="AL842"/>
  <c r="AK842"/>
  <c r="AH842"/>
  <c r="AG842"/>
  <c r="AF842"/>
  <c r="AE842"/>
  <c r="AA842"/>
  <c r="AA279"/>
  <c r="S842"/>
  <c r="S841"/>
  <c r="S840"/>
  <c r="P842"/>
  <c r="O842"/>
  <c r="M842"/>
  <c r="AV841"/>
  <c r="AR841"/>
  <c r="AQ841"/>
  <c r="AP841"/>
  <c r="AL841"/>
  <c r="AF841"/>
  <c r="AD841"/>
  <c r="AD840"/>
  <c r="AD832"/>
  <c r="AD830"/>
  <c r="AC841"/>
  <c r="AC840"/>
  <c r="AA841"/>
  <c r="Z841"/>
  <c r="Y841"/>
  <c r="AM841"/>
  <c r="X841"/>
  <c r="W841"/>
  <c r="AU841"/>
  <c r="V841"/>
  <c r="R841"/>
  <c r="R840"/>
  <c r="AR840"/>
  <c r="Q841"/>
  <c r="AH841"/>
  <c r="P841"/>
  <c r="O841"/>
  <c r="AE841"/>
  <c r="N841"/>
  <c r="M841"/>
  <c r="M840"/>
  <c r="L841"/>
  <c r="AQ840"/>
  <c r="AP840"/>
  <c r="AA840"/>
  <c r="Z840"/>
  <c r="Y840"/>
  <c r="AM840"/>
  <c r="X840"/>
  <c r="V840"/>
  <c r="Q840"/>
  <c r="P840"/>
  <c r="O840"/>
  <c r="AF840"/>
  <c r="N840"/>
  <c r="L840"/>
  <c r="AP839"/>
  <c r="AA839"/>
  <c r="S839"/>
  <c r="AU838"/>
  <c r="AS838"/>
  <c r="AP838"/>
  <c r="AM838"/>
  <c r="AL838"/>
  <c r="AA838"/>
  <c r="S838"/>
  <c r="O838"/>
  <c r="M838"/>
  <c r="AE838"/>
  <c r="AP837"/>
  <c r="AA837"/>
  <c r="S837"/>
  <c r="AV836"/>
  <c r="AU836"/>
  <c r="AT836"/>
  <c r="AS836"/>
  <c r="AR836"/>
  <c r="AP836"/>
  <c r="AM836"/>
  <c r="AL836"/>
  <c r="AK836"/>
  <c r="AH836"/>
  <c r="AG836"/>
  <c r="AE836"/>
  <c r="AA836"/>
  <c r="S836"/>
  <c r="O836"/>
  <c r="AF836"/>
  <c r="M836"/>
  <c r="AV835"/>
  <c r="AU835"/>
  <c r="AT835"/>
  <c r="AS835"/>
  <c r="AR835"/>
  <c r="AP835"/>
  <c r="AL835"/>
  <c r="AK835"/>
  <c r="AH835"/>
  <c r="AG835"/>
  <c r="AE835"/>
  <c r="AA835"/>
  <c r="S835"/>
  <c r="O835"/>
  <c r="AF835"/>
  <c r="M835"/>
  <c r="M834"/>
  <c r="AU834"/>
  <c r="AS834"/>
  <c r="AQ834"/>
  <c r="AV834"/>
  <c r="AP834"/>
  <c r="AK834"/>
  <c r="AD834"/>
  <c r="AC834"/>
  <c r="AC833"/>
  <c r="AA834"/>
  <c r="Z834"/>
  <c r="Z833"/>
  <c r="Z832"/>
  <c r="Z830"/>
  <c r="Y834"/>
  <c r="Y833"/>
  <c r="X834"/>
  <c r="AM834"/>
  <c r="W834"/>
  <c r="AT834"/>
  <c r="V834"/>
  <c r="AR834"/>
  <c r="R834"/>
  <c r="R833"/>
  <c r="Q834"/>
  <c r="P834"/>
  <c r="O834"/>
  <c r="O833"/>
  <c r="N834"/>
  <c r="L834"/>
  <c r="AS833"/>
  <c r="AQ833"/>
  <c r="AP833"/>
  <c r="AD833"/>
  <c r="AA833"/>
  <c r="X833"/>
  <c r="W833"/>
  <c r="AT833"/>
  <c r="V833"/>
  <c r="AR833"/>
  <c r="Q833"/>
  <c r="N833"/>
  <c r="N832"/>
  <c r="N830"/>
  <c r="L833"/>
  <c r="AQ832"/>
  <c r="AP832"/>
  <c r="AA832"/>
  <c r="V832"/>
  <c r="L832"/>
  <c r="L830"/>
  <c r="AP831"/>
  <c r="AA831"/>
  <c r="S831"/>
  <c r="AP830"/>
  <c r="AA830"/>
  <c r="AP829"/>
  <c r="AA829"/>
  <c r="S829"/>
  <c r="AV828"/>
  <c r="AU828"/>
  <c r="AT828"/>
  <c r="AS828"/>
  <c r="AR828"/>
  <c r="AP828"/>
  <c r="AL828"/>
  <c r="AK828"/>
  <c r="AA828"/>
  <c r="S828"/>
  <c r="S827"/>
  <c r="S826"/>
  <c r="S824"/>
  <c r="S822"/>
  <c r="O828"/>
  <c r="M828"/>
  <c r="AV827"/>
  <c r="AR827"/>
  <c r="AQ827"/>
  <c r="AP827"/>
  <c r="AD827"/>
  <c r="AC827"/>
  <c r="AC826"/>
  <c r="AC824"/>
  <c r="AC822"/>
  <c r="AA827"/>
  <c r="Z827"/>
  <c r="Y827"/>
  <c r="Y826"/>
  <c r="Y824"/>
  <c r="Y822"/>
  <c r="X827"/>
  <c r="AL827"/>
  <c r="W827"/>
  <c r="AK827"/>
  <c r="V827"/>
  <c r="V826"/>
  <c r="V824"/>
  <c r="R827"/>
  <c r="R826"/>
  <c r="Q827"/>
  <c r="P827"/>
  <c r="N827"/>
  <c r="M827"/>
  <c r="M826"/>
  <c r="M824"/>
  <c r="M822"/>
  <c r="L827"/>
  <c r="L826"/>
  <c r="L824"/>
  <c r="L822"/>
  <c r="AQ826"/>
  <c r="AP826"/>
  <c r="AD826"/>
  <c r="AD824"/>
  <c r="AA826"/>
  <c r="Z826"/>
  <c r="X826"/>
  <c r="Q826"/>
  <c r="Q824"/>
  <c r="Q822"/>
  <c r="P826"/>
  <c r="N826"/>
  <c r="AP825"/>
  <c r="AA825"/>
  <c r="S825"/>
  <c r="AQ824"/>
  <c r="AQ822"/>
  <c r="AP824"/>
  <c r="AA824"/>
  <c r="Z824"/>
  <c r="Z822"/>
  <c r="X824"/>
  <c r="X822"/>
  <c r="P824"/>
  <c r="P822"/>
  <c r="N824"/>
  <c r="N822"/>
  <c r="AP823"/>
  <c r="AA823"/>
  <c r="S823"/>
  <c r="AP822"/>
  <c r="AD822"/>
  <c r="AD821"/>
  <c r="AA822"/>
  <c r="AP821"/>
  <c r="AA821"/>
  <c r="AP820"/>
  <c r="AA820"/>
  <c r="S820"/>
  <c r="AP819"/>
  <c r="AA819"/>
  <c r="S819"/>
  <c r="AU818"/>
  <c r="AS818"/>
  <c r="AP818"/>
  <c r="AM818"/>
  <c r="AL818"/>
  <c r="AA818"/>
  <c r="S818"/>
  <c r="S816"/>
  <c r="S815"/>
  <c r="S814"/>
  <c r="S812"/>
  <c r="Q818"/>
  <c r="P818"/>
  <c r="O818"/>
  <c r="AE818"/>
  <c r="M818"/>
  <c r="AP817"/>
  <c r="AA817"/>
  <c r="S817"/>
  <c r="AQ816"/>
  <c r="AP816"/>
  <c r="AL816"/>
  <c r="AD816"/>
  <c r="AD815"/>
  <c r="AD814"/>
  <c r="AD812"/>
  <c r="AC816"/>
  <c r="AA816"/>
  <c r="Z816"/>
  <c r="Y816"/>
  <c r="Y815"/>
  <c r="X816"/>
  <c r="W816"/>
  <c r="V816"/>
  <c r="R816"/>
  <c r="Q816"/>
  <c r="Q815"/>
  <c r="Q814"/>
  <c r="Q812"/>
  <c r="P816"/>
  <c r="O816"/>
  <c r="O815"/>
  <c r="O814"/>
  <c r="N816"/>
  <c r="M816"/>
  <c r="M815"/>
  <c r="M814"/>
  <c r="L816"/>
  <c r="AQ815"/>
  <c r="AQ814"/>
  <c r="AP815"/>
  <c r="AE815"/>
  <c r="AC815"/>
  <c r="AC814"/>
  <c r="AC812"/>
  <c r="AA815"/>
  <c r="Z815"/>
  <c r="Z814"/>
  <c r="Z812"/>
  <c r="X815"/>
  <c r="X814"/>
  <c r="V815"/>
  <c r="V814"/>
  <c r="V812"/>
  <c r="R815"/>
  <c r="R814"/>
  <c r="R812"/>
  <c r="P815"/>
  <c r="P814"/>
  <c r="P812"/>
  <c r="N815"/>
  <c r="N814"/>
  <c r="N812"/>
  <c r="L815"/>
  <c r="L814"/>
  <c r="L812"/>
  <c r="AP814"/>
  <c r="AA814"/>
  <c r="AP813"/>
  <c r="AA813"/>
  <c r="S813"/>
  <c r="AP812"/>
  <c r="AA812"/>
  <c r="M812"/>
  <c r="AP811"/>
  <c r="AA811"/>
  <c r="S811"/>
  <c r="AV810"/>
  <c r="AU810"/>
  <c r="AT810"/>
  <c r="AS810"/>
  <c r="AR810"/>
  <c r="AP810"/>
  <c r="AM810"/>
  <c r="AL810"/>
  <c r="AK810"/>
  <c r="AE810"/>
  <c r="AA810"/>
  <c r="S810"/>
  <c r="M810"/>
  <c r="AV809"/>
  <c r="AT809"/>
  <c r="AR809"/>
  <c r="AP809"/>
  <c r="AK809"/>
  <c r="AA809"/>
  <c r="S809"/>
  <c r="M809"/>
  <c r="AE809"/>
  <c r="AV808"/>
  <c r="AT808"/>
  <c r="AR808"/>
  <c r="AP808"/>
  <c r="AK808"/>
  <c r="AE808"/>
  <c r="AA808"/>
  <c r="S808"/>
  <c r="M808"/>
  <c r="AV807"/>
  <c r="AT807"/>
  <c r="AR807"/>
  <c r="AP807"/>
  <c r="AK807"/>
  <c r="AA807"/>
  <c r="S807"/>
  <c r="M807"/>
  <c r="AE807"/>
  <c r="AV806"/>
  <c r="AT806"/>
  <c r="AR806"/>
  <c r="AP806"/>
  <c r="AK806"/>
  <c r="AE806"/>
  <c r="AA806"/>
  <c r="S806"/>
  <c r="M806"/>
  <c r="AV805"/>
  <c r="AT805"/>
  <c r="AR805"/>
  <c r="AP805"/>
  <c r="AK805"/>
  <c r="AA805"/>
  <c r="S805"/>
  <c r="M805"/>
  <c r="AE805"/>
  <c r="AV804"/>
  <c r="AT804"/>
  <c r="AR804"/>
  <c r="AP804"/>
  <c r="AK804"/>
  <c r="AE804"/>
  <c r="AA804"/>
  <c r="S804"/>
  <c r="M804"/>
  <c r="AV803"/>
  <c r="AT803"/>
  <c r="AR803"/>
  <c r="AP803"/>
  <c r="AK803"/>
  <c r="AA803"/>
  <c r="S803"/>
  <c r="S802"/>
  <c r="S801"/>
  <c r="S800"/>
  <c r="S799"/>
  <c r="S798"/>
  <c r="S796"/>
  <c r="M803"/>
  <c r="AE803"/>
  <c r="AQ802"/>
  <c r="AV802"/>
  <c r="AP802"/>
  <c r="AK802"/>
  <c r="AH802"/>
  <c r="AG802"/>
  <c r="AF802"/>
  <c r="AE802"/>
  <c r="AA802"/>
  <c r="Z802"/>
  <c r="Y802"/>
  <c r="X802"/>
  <c r="W802"/>
  <c r="AT802"/>
  <c r="V802"/>
  <c r="AS802"/>
  <c r="R802"/>
  <c r="O802"/>
  <c r="M802"/>
  <c r="M801"/>
  <c r="M800"/>
  <c r="M799"/>
  <c r="M798"/>
  <c r="AQ801"/>
  <c r="AP801"/>
  <c r="AE801"/>
  <c r="AD801"/>
  <c r="AC801"/>
  <c r="AH801"/>
  <c r="AA801"/>
  <c r="Z801"/>
  <c r="Z800"/>
  <c r="Z799"/>
  <c r="Z798"/>
  <c r="Z796"/>
  <c r="Y801"/>
  <c r="Y800"/>
  <c r="V801"/>
  <c r="R801"/>
  <c r="R800"/>
  <c r="R799"/>
  <c r="Q801"/>
  <c r="Q800"/>
  <c r="Q799"/>
  <c r="Q798"/>
  <c r="Q796"/>
  <c r="P801"/>
  <c r="O801"/>
  <c r="O800"/>
  <c r="N801"/>
  <c r="L801"/>
  <c r="L800"/>
  <c r="L799"/>
  <c r="L798"/>
  <c r="L796"/>
  <c r="AP800"/>
  <c r="AD800"/>
  <c r="AC800"/>
  <c r="AA800"/>
  <c r="P800"/>
  <c r="AF800"/>
  <c r="N800"/>
  <c r="AP799"/>
  <c r="AD799"/>
  <c r="AD798"/>
  <c r="AA799"/>
  <c r="P799"/>
  <c r="AG799"/>
  <c r="N799"/>
  <c r="AP798"/>
  <c r="AA798"/>
  <c r="R798"/>
  <c r="R796"/>
  <c r="N798"/>
  <c r="N796"/>
  <c r="AP797"/>
  <c r="AA797"/>
  <c r="S797"/>
  <c r="AP796"/>
  <c r="AD796"/>
  <c r="AA796"/>
  <c r="M796"/>
  <c r="AP795"/>
  <c r="AA795"/>
  <c r="S795"/>
  <c r="AV794"/>
  <c r="AU794"/>
  <c r="AT794"/>
  <c r="AS794"/>
  <c r="AR794"/>
  <c r="AP794"/>
  <c r="AL794"/>
  <c r="AK794"/>
  <c r="AH794"/>
  <c r="AG794"/>
  <c r="AE794"/>
  <c r="AA794"/>
  <c r="S794"/>
  <c r="S793"/>
  <c r="S792"/>
  <c r="S791"/>
  <c r="S789"/>
  <c r="O794"/>
  <c r="AF794"/>
  <c r="M794"/>
  <c r="AQ793"/>
  <c r="AP793"/>
  <c r="AH793"/>
  <c r="AF793"/>
  <c r="AD793"/>
  <c r="AD792"/>
  <c r="AC793"/>
  <c r="AA793"/>
  <c r="Z793"/>
  <c r="Y793"/>
  <c r="Y792"/>
  <c r="X793"/>
  <c r="W793"/>
  <c r="V793"/>
  <c r="AR793"/>
  <c r="R793"/>
  <c r="Q793"/>
  <c r="AG793"/>
  <c r="P793"/>
  <c r="O793"/>
  <c r="N793"/>
  <c r="M793"/>
  <c r="M792"/>
  <c r="L793"/>
  <c r="AP792"/>
  <c r="AC792"/>
  <c r="AA792"/>
  <c r="Z792"/>
  <c r="Z791"/>
  <c r="Z789"/>
  <c r="X792"/>
  <c r="V792"/>
  <c r="AR792"/>
  <c r="R792"/>
  <c r="R791"/>
  <c r="R789"/>
  <c r="P792"/>
  <c r="N792"/>
  <c r="N791"/>
  <c r="N789"/>
  <c r="L792"/>
  <c r="AP791"/>
  <c r="AD791"/>
  <c r="AD789"/>
  <c r="AA791"/>
  <c r="Y791"/>
  <c r="M791"/>
  <c r="M789"/>
  <c r="M788"/>
  <c r="L791"/>
  <c r="L789"/>
  <c r="AP790"/>
  <c r="AA790"/>
  <c r="S790"/>
  <c r="AP789"/>
  <c r="AA789"/>
  <c r="Y789"/>
  <c r="AP788"/>
  <c r="AD788"/>
  <c r="AA788"/>
  <c r="AP787"/>
  <c r="AA787"/>
  <c r="S787"/>
  <c r="AP786"/>
  <c r="AA786"/>
  <c r="S786"/>
  <c r="AU785"/>
  <c r="AS785"/>
  <c r="AP785"/>
  <c r="AM785"/>
  <c r="AL785"/>
  <c r="AA785"/>
  <c r="S785"/>
  <c r="M785"/>
  <c r="AE785"/>
  <c r="AV784"/>
  <c r="AT784"/>
  <c r="AR784"/>
  <c r="AP784"/>
  <c r="AK784"/>
  <c r="AE784"/>
  <c r="AA784"/>
  <c r="S784"/>
  <c r="M784"/>
  <c r="AU783"/>
  <c r="AS783"/>
  <c r="AP783"/>
  <c r="AM783"/>
  <c r="AL783"/>
  <c r="AA783"/>
  <c r="S783"/>
  <c r="O783"/>
  <c r="AP782"/>
  <c r="AA782"/>
  <c r="S782"/>
  <c r="AU781"/>
  <c r="AS781"/>
  <c r="AQ781"/>
  <c r="AP781"/>
  <c r="AM781"/>
  <c r="AK781"/>
  <c r="AH781"/>
  <c r="AG781"/>
  <c r="AA781"/>
  <c r="Z781"/>
  <c r="Y781"/>
  <c r="X781"/>
  <c r="W781"/>
  <c r="AT781"/>
  <c r="V781"/>
  <c r="R781"/>
  <c r="O781"/>
  <c r="AF781"/>
  <c r="M781"/>
  <c r="AQ780"/>
  <c r="AP780"/>
  <c r="AD780"/>
  <c r="AC780"/>
  <c r="AA780"/>
  <c r="Z780"/>
  <c r="Y780"/>
  <c r="Y778"/>
  <c r="Y776"/>
  <c r="W780"/>
  <c r="W778"/>
  <c r="V780"/>
  <c r="R780"/>
  <c r="Q780"/>
  <c r="P780"/>
  <c r="O780"/>
  <c r="O778"/>
  <c r="N780"/>
  <c r="M780"/>
  <c r="M778"/>
  <c r="M776"/>
  <c r="L780"/>
  <c r="AP779"/>
  <c r="AA779"/>
  <c r="S779"/>
  <c r="AP778"/>
  <c r="AD778"/>
  <c r="AA778"/>
  <c r="Z778"/>
  <c r="Z776"/>
  <c r="V778"/>
  <c r="R778"/>
  <c r="R776"/>
  <c r="P778"/>
  <c r="P776"/>
  <c r="N778"/>
  <c r="N776"/>
  <c r="L778"/>
  <c r="AP777"/>
  <c r="AA777"/>
  <c r="S777"/>
  <c r="AP776"/>
  <c r="AD776"/>
  <c r="AA776"/>
  <c r="V776"/>
  <c r="L776"/>
  <c r="AP775"/>
  <c r="AA775"/>
  <c r="S775"/>
  <c r="AV774"/>
  <c r="AU774"/>
  <c r="AT774"/>
  <c r="AS774"/>
  <c r="AR774"/>
  <c r="AP774"/>
  <c r="AM774"/>
  <c r="AL774"/>
  <c r="AK774"/>
  <c r="AH774"/>
  <c r="AG774"/>
  <c r="AE774"/>
  <c r="AA774"/>
  <c r="S774"/>
  <c r="S773"/>
  <c r="S772"/>
  <c r="S771"/>
  <c r="S769"/>
  <c r="O774"/>
  <c r="AF774"/>
  <c r="M774"/>
  <c r="AS773"/>
  <c r="AR773"/>
  <c r="AQ773"/>
  <c r="AP773"/>
  <c r="AG773"/>
  <c r="AD773"/>
  <c r="AC773"/>
  <c r="AH773"/>
  <c r="AA773"/>
  <c r="Z773"/>
  <c r="Y773"/>
  <c r="X773"/>
  <c r="W773"/>
  <c r="V773"/>
  <c r="R773"/>
  <c r="AV773"/>
  <c r="Q773"/>
  <c r="P773"/>
  <c r="N773"/>
  <c r="N772"/>
  <c r="N771"/>
  <c r="N769"/>
  <c r="M773"/>
  <c r="M772"/>
  <c r="M771"/>
  <c r="M769"/>
  <c r="M768"/>
  <c r="L773"/>
  <c r="AQ772"/>
  <c r="AP772"/>
  <c r="AD772"/>
  <c r="AD771"/>
  <c r="AD769"/>
  <c r="AD768"/>
  <c r="AA772"/>
  <c r="Z772"/>
  <c r="Z771"/>
  <c r="Z769"/>
  <c r="Y772"/>
  <c r="V772"/>
  <c r="Q772"/>
  <c r="AG772"/>
  <c r="P772"/>
  <c r="L772"/>
  <c r="L771"/>
  <c r="L769"/>
  <c r="L768"/>
  <c r="AP771"/>
  <c r="AA771"/>
  <c r="Y771"/>
  <c r="Y769"/>
  <c r="Y768"/>
  <c r="Q771"/>
  <c r="AP770"/>
  <c r="AA770"/>
  <c r="S770"/>
  <c r="AP769"/>
  <c r="AA769"/>
  <c r="AP768"/>
  <c r="AA768"/>
  <c r="Z768"/>
  <c r="AP767"/>
  <c r="AA767"/>
  <c r="S767"/>
  <c r="AV766"/>
  <c r="AU766"/>
  <c r="AT766"/>
  <c r="AR766"/>
  <c r="AP766"/>
  <c r="AL766"/>
  <c r="AK766"/>
  <c r="AA766"/>
  <c r="S766"/>
  <c r="S765"/>
  <c r="S764"/>
  <c r="S763"/>
  <c r="S761"/>
  <c r="O766"/>
  <c r="AV765"/>
  <c r="AQ765"/>
  <c r="AP765"/>
  <c r="AD765"/>
  <c r="AC765"/>
  <c r="AA765"/>
  <c r="Z765"/>
  <c r="Y765"/>
  <c r="X765"/>
  <c r="W765"/>
  <c r="AL765"/>
  <c r="V765"/>
  <c r="AR765"/>
  <c r="R765"/>
  <c r="Q765"/>
  <c r="P765"/>
  <c r="O765"/>
  <c r="N765"/>
  <c r="N764"/>
  <c r="N763"/>
  <c r="N761"/>
  <c r="M765"/>
  <c r="L765"/>
  <c r="AV764"/>
  <c r="AQ764"/>
  <c r="AP764"/>
  <c r="AD764"/>
  <c r="AC764"/>
  <c r="AA764"/>
  <c r="Z764"/>
  <c r="Y764"/>
  <c r="X764"/>
  <c r="V764"/>
  <c r="AR764"/>
  <c r="R764"/>
  <c r="Q764"/>
  <c r="P764"/>
  <c r="O764"/>
  <c r="M764"/>
  <c r="M763"/>
  <c r="M761"/>
  <c r="L764"/>
  <c r="AV763"/>
  <c r="AQ763"/>
  <c r="AP763"/>
  <c r="AD763"/>
  <c r="AD761"/>
  <c r="AC763"/>
  <c r="AC761"/>
  <c r="AA763"/>
  <c r="Z763"/>
  <c r="Y763"/>
  <c r="V763"/>
  <c r="AR763"/>
  <c r="R763"/>
  <c r="R761"/>
  <c r="AV761"/>
  <c r="Q763"/>
  <c r="P763"/>
  <c r="O763"/>
  <c r="L763"/>
  <c r="AP762"/>
  <c r="AA762"/>
  <c r="S762"/>
  <c r="AQ761"/>
  <c r="AP761"/>
  <c r="AA761"/>
  <c r="Z761"/>
  <c r="Y761"/>
  <c r="V761"/>
  <c r="Q761"/>
  <c r="P761"/>
  <c r="O761"/>
  <c r="L761"/>
  <c r="AP760"/>
  <c r="AA760"/>
  <c r="S760"/>
  <c r="AV759"/>
  <c r="AU759"/>
  <c r="AT759"/>
  <c r="AS759"/>
  <c r="AR759"/>
  <c r="AP759"/>
  <c r="AL759"/>
  <c r="AK759"/>
  <c r="AA759"/>
  <c r="S759"/>
  <c r="O759"/>
  <c r="O757"/>
  <c r="AP758"/>
  <c r="AA758"/>
  <c r="S758"/>
  <c r="M758"/>
  <c r="AE758"/>
  <c r="AV757"/>
  <c r="AR757"/>
  <c r="AQ757"/>
  <c r="AU757"/>
  <c r="AP757"/>
  <c r="AD757"/>
  <c r="AD756"/>
  <c r="AD755"/>
  <c r="AD753"/>
  <c r="AC757"/>
  <c r="AC756"/>
  <c r="AA757"/>
  <c r="Z757"/>
  <c r="Y757"/>
  <c r="X757"/>
  <c r="X756"/>
  <c r="W757"/>
  <c r="AK757"/>
  <c r="V757"/>
  <c r="R757"/>
  <c r="R756"/>
  <c r="Q757"/>
  <c r="Q756"/>
  <c r="P757"/>
  <c r="N757"/>
  <c r="N756"/>
  <c r="N755"/>
  <c r="N753"/>
  <c r="M757"/>
  <c r="M756"/>
  <c r="M755"/>
  <c r="M753"/>
  <c r="L757"/>
  <c r="AQ756"/>
  <c r="AP756"/>
  <c r="AA756"/>
  <c r="Z756"/>
  <c r="Z755"/>
  <c r="Z753"/>
  <c r="Y756"/>
  <c r="Y755"/>
  <c r="V756"/>
  <c r="V755"/>
  <c r="P756"/>
  <c r="P755"/>
  <c r="P753"/>
  <c r="O756"/>
  <c r="L756"/>
  <c r="L755"/>
  <c r="L753"/>
  <c r="AP755"/>
  <c r="AC755"/>
  <c r="AC753"/>
  <c r="AA755"/>
  <c r="R755"/>
  <c r="R753"/>
  <c r="Q755"/>
  <c r="Q753"/>
  <c r="AP754"/>
  <c r="AA754"/>
  <c r="S754"/>
  <c r="AP753"/>
  <c r="AA753"/>
  <c r="Y753"/>
  <c r="AP752"/>
  <c r="AA752"/>
  <c r="S752"/>
  <c r="AP751"/>
  <c r="AA751"/>
  <c r="S751"/>
  <c r="S750"/>
  <c r="S749"/>
  <c r="S748"/>
  <c r="AQ750"/>
  <c r="AP750"/>
  <c r="AD750"/>
  <c r="AC750"/>
  <c r="AC749"/>
  <c r="AA750"/>
  <c r="Z750"/>
  <c r="Y750"/>
  <c r="Y749"/>
  <c r="Y748"/>
  <c r="X750"/>
  <c r="X749"/>
  <c r="X748"/>
  <c r="W750"/>
  <c r="V750"/>
  <c r="V749"/>
  <c r="V748"/>
  <c r="R750"/>
  <c r="R749"/>
  <c r="Q750"/>
  <c r="P750"/>
  <c r="O750"/>
  <c r="O749"/>
  <c r="O748"/>
  <c r="O741"/>
  <c r="N750"/>
  <c r="N749"/>
  <c r="N748"/>
  <c r="M750"/>
  <c r="L750"/>
  <c r="L749"/>
  <c r="L748"/>
  <c r="AQ749"/>
  <c r="AP749"/>
  <c r="AD749"/>
  <c r="AA749"/>
  <c r="Z749"/>
  <c r="Z748"/>
  <c r="W749"/>
  <c r="Q749"/>
  <c r="Q748"/>
  <c r="P749"/>
  <c r="P748"/>
  <c r="M749"/>
  <c r="AQ748"/>
  <c r="AP748"/>
  <c r="AD748"/>
  <c r="AC748"/>
  <c r="AA748"/>
  <c r="W748"/>
  <c r="R748"/>
  <c r="M748"/>
  <c r="AP747"/>
  <c r="AA747"/>
  <c r="S747"/>
  <c r="AU746"/>
  <c r="AS746"/>
  <c r="AP746"/>
  <c r="AM746"/>
  <c r="AL746"/>
  <c r="AA746"/>
  <c r="S746"/>
  <c r="S745"/>
  <c r="S744"/>
  <c r="S743"/>
  <c r="AS745"/>
  <c r="AQ745"/>
  <c r="AU745"/>
  <c r="AP745"/>
  <c r="AD745"/>
  <c r="AD744"/>
  <c r="AD743"/>
  <c r="AC745"/>
  <c r="AC744"/>
  <c r="AC743"/>
  <c r="AA745"/>
  <c r="Z745"/>
  <c r="Y745"/>
  <c r="AM745"/>
  <c r="X745"/>
  <c r="AL745"/>
  <c r="W745"/>
  <c r="V745"/>
  <c r="R745"/>
  <c r="R744"/>
  <c r="R743"/>
  <c r="R741"/>
  <c r="Q745"/>
  <c r="P745"/>
  <c r="O745"/>
  <c r="N745"/>
  <c r="M745"/>
  <c r="L745"/>
  <c r="AU744"/>
  <c r="AS744"/>
  <c r="AQ744"/>
  <c r="AP744"/>
  <c r="AA744"/>
  <c r="Z744"/>
  <c r="Z743"/>
  <c r="Y744"/>
  <c r="X744"/>
  <c r="AM744"/>
  <c r="W744"/>
  <c r="W743"/>
  <c r="V744"/>
  <c r="Q744"/>
  <c r="Q743"/>
  <c r="P744"/>
  <c r="P743"/>
  <c r="P741"/>
  <c r="O744"/>
  <c r="N744"/>
  <c r="M744"/>
  <c r="M743"/>
  <c r="M741"/>
  <c r="L744"/>
  <c r="AQ743"/>
  <c r="AU743"/>
  <c r="AP743"/>
  <c r="AA743"/>
  <c r="Y743"/>
  <c r="AM743"/>
  <c r="X743"/>
  <c r="V743"/>
  <c r="V741"/>
  <c r="O743"/>
  <c r="N743"/>
  <c r="N741"/>
  <c r="L743"/>
  <c r="L741"/>
  <c r="AP742"/>
  <c r="AA742"/>
  <c r="S742"/>
  <c r="AQ741"/>
  <c r="AP741"/>
  <c r="AA741"/>
  <c r="Y741"/>
  <c r="AP740"/>
  <c r="AA740"/>
  <c r="S740"/>
  <c r="AP739"/>
  <c r="AM739"/>
  <c r="AA739"/>
  <c r="S739"/>
  <c r="S738"/>
  <c r="S737"/>
  <c r="S736"/>
  <c r="S734"/>
  <c r="AQ738"/>
  <c r="AP738"/>
  <c r="AD738"/>
  <c r="AD737"/>
  <c r="AD736"/>
  <c r="AD734"/>
  <c r="AC738"/>
  <c r="AC737"/>
  <c r="AC736"/>
  <c r="AC734"/>
  <c r="AA738"/>
  <c r="Z738"/>
  <c r="Y738"/>
  <c r="AM738"/>
  <c r="X738"/>
  <c r="W738"/>
  <c r="V738"/>
  <c r="R738"/>
  <c r="R737"/>
  <c r="R736"/>
  <c r="R734"/>
  <c r="Q738"/>
  <c r="Q737"/>
  <c r="Q736"/>
  <c r="Q734"/>
  <c r="P738"/>
  <c r="O738"/>
  <c r="O737"/>
  <c r="N738"/>
  <c r="M738"/>
  <c r="L738"/>
  <c r="AQ737"/>
  <c r="AQ736"/>
  <c r="AP737"/>
  <c r="AA737"/>
  <c r="Z737"/>
  <c r="X737"/>
  <c r="X736"/>
  <c r="X734"/>
  <c r="W737"/>
  <c r="W736"/>
  <c r="V737"/>
  <c r="V736"/>
  <c r="V734"/>
  <c r="P737"/>
  <c r="N737"/>
  <c r="N736"/>
  <c r="N734"/>
  <c r="M737"/>
  <c r="M736"/>
  <c r="L737"/>
  <c r="L736"/>
  <c r="L734"/>
  <c r="AP736"/>
  <c r="AA736"/>
  <c r="Z736"/>
  <c r="Z734"/>
  <c r="P736"/>
  <c r="P734"/>
  <c r="O736"/>
  <c r="O734"/>
  <c r="AP735"/>
  <c r="AA735"/>
  <c r="S735"/>
  <c r="AQ734"/>
  <c r="AP734"/>
  <c r="AA734"/>
  <c r="W734"/>
  <c r="M734"/>
  <c r="AP733"/>
  <c r="AA733"/>
  <c r="S733"/>
  <c r="AP732"/>
  <c r="AA732"/>
  <c r="S732"/>
  <c r="AP731"/>
  <c r="AA731"/>
  <c r="S731"/>
  <c r="AP730"/>
  <c r="AA730"/>
  <c r="S730"/>
  <c r="AP729"/>
  <c r="AA729"/>
  <c r="S729"/>
  <c r="AV728"/>
  <c r="AU728"/>
  <c r="AT728"/>
  <c r="AS728"/>
  <c r="AR728"/>
  <c r="AP728"/>
  <c r="AM728"/>
  <c r="AL728"/>
  <c r="AK728"/>
  <c r="AA728"/>
  <c r="S728"/>
  <c r="S727"/>
  <c r="Q728"/>
  <c r="P728"/>
  <c r="O728"/>
  <c r="AF728"/>
  <c r="M728"/>
  <c r="AV727"/>
  <c r="AS727"/>
  <c r="AR727"/>
  <c r="AQ727"/>
  <c r="AP727"/>
  <c r="AD727"/>
  <c r="AC727"/>
  <c r="AA727"/>
  <c r="Z727"/>
  <c r="Y727"/>
  <c r="AM727"/>
  <c r="X727"/>
  <c r="W727"/>
  <c r="W723"/>
  <c r="V727"/>
  <c r="R727"/>
  <c r="P727"/>
  <c r="N727"/>
  <c r="M727"/>
  <c r="L727"/>
  <c r="AP726"/>
  <c r="AA726"/>
  <c r="S726"/>
  <c r="AV725"/>
  <c r="AU725"/>
  <c r="AT725"/>
  <c r="AS725"/>
  <c r="AR725"/>
  <c r="AP725"/>
  <c r="AM725"/>
  <c r="AL725"/>
  <c r="AK725"/>
  <c r="AA725"/>
  <c r="S725"/>
  <c r="S724"/>
  <c r="O725"/>
  <c r="AU724"/>
  <c r="AQ724"/>
  <c r="AV724"/>
  <c r="AP724"/>
  <c r="AD724"/>
  <c r="AD723"/>
  <c r="AD722"/>
  <c r="AD720"/>
  <c r="AC724"/>
  <c r="AA724"/>
  <c r="Z724"/>
  <c r="Y724"/>
  <c r="Y723"/>
  <c r="X724"/>
  <c r="W724"/>
  <c r="V724"/>
  <c r="AS724"/>
  <c r="R724"/>
  <c r="AK724"/>
  <c r="Q724"/>
  <c r="P724"/>
  <c r="O724"/>
  <c r="N724"/>
  <c r="N723"/>
  <c r="N722"/>
  <c r="N720"/>
  <c r="M724"/>
  <c r="L724"/>
  <c r="AQ723"/>
  <c r="AP723"/>
  <c r="AC723"/>
  <c r="AA723"/>
  <c r="Z723"/>
  <c r="V723"/>
  <c r="R723"/>
  <c r="P723"/>
  <c r="M723"/>
  <c r="M722"/>
  <c r="M720"/>
  <c r="L723"/>
  <c r="L722"/>
  <c r="AP722"/>
  <c r="AC722"/>
  <c r="AA722"/>
  <c r="Z722"/>
  <c r="Z720"/>
  <c r="R722"/>
  <c r="R720"/>
  <c r="P722"/>
  <c r="P720"/>
  <c r="AP721"/>
  <c r="AA721"/>
  <c r="S721"/>
  <c r="AP720"/>
  <c r="AA720"/>
  <c r="L720"/>
  <c r="AP719"/>
  <c r="AA719"/>
  <c r="S719"/>
  <c r="AV718"/>
  <c r="AU718"/>
  <c r="AT718"/>
  <c r="AS718"/>
  <c r="AR718"/>
  <c r="AP718"/>
  <c r="AM718"/>
  <c r="AL718"/>
  <c r="AK718"/>
  <c r="AH718"/>
  <c r="AG718"/>
  <c r="AE718"/>
  <c r="AA718"/>
  <c r="S718"/>
  <c r="O718"/>
  <c r="AF718"/>
  <c r="M718"/>
  <c r="AV717"/>
  <c r="AR717"/>
  <c r="AQ717"/>
  <c r="AP717"/>
  <c r="AG717"/>
  <c r="AD717"/>
  <c r="AC717"/>
  <c r="AH717"/>
  <c r="AA717"/>
  <c r="Z717"/>
  <c r="Y717"/>
  <c r="X717"/>
  <c r="W717"/>
  <c r="V717"/>
  <c r="S717"/>
  <c r="S716"/>
  <c r="S715"/>
  <c r="S713"/>
  <c r="R717"/>
  <c r="Q717"/>
  <c r="P717"/>
  <c r="N717"/>
  <c r="N716"/>
  <c r="N715"/>
  <c r="N713"/>
  <c r="M717"/>
  <c r="M716"/>
  <c r="M715"/>
  <c r="M713"/>
  <c r="L717"/>
  <c r="AQ716"/>
  <c r="AP716"/>
  <c r="AD716"/>
  <c r="AD715"/>
  <c r="AC716"/>
  <c r="AA716"/>
  <c r="Z716"/>
  <c r="Y716"/>
  <c r="V716"/>
  <c r="R716"/>
  <c r="Q716"/>
  <c r="AH716"/>
  <c r="P716"/>
  <c r="L716"/>
  <c r="L715"/>
  <c r="L713"/>
  <c r="AP715"/>
  <c r="AC715"/>
  <c r="AH715"/>
  <c r="AA715"/>
  <c r="Z715"/>
  <c r="Y715"/>
  <c r="Y713"/>
  <c r="R715"/>
  <c r="R713"/>
  <c r="Q715"/>
  <c r="P715"/>
  <c r="AP714"/>
  <c r="AA714"/>
  <c r="S714"/>
  <c r="AP713"/>
  <c r="AD713"/>
  <c r="AA713"/>
  <c r="Z713"/>
  <c r="P713"/>
  <c r="AP712"/>
  <c r="AA712"/>
  <c r="S712"/>
  <c r="AV711"/>
  <c r="AU711"/>
  <c r="AT711"/>
  <c r="AS711"/>
  <c r="AR711"/>
  <c r="AP711"/>
  <c r="AM711"/>
  <c r="AL711"/>
  <c r="AK711"/>
  <c r="AH711"/>
  <c r="AG711"/>
  <c r="AA711"/>
  <c r="S711"/>
  <c r="S710"/>
  <c r="S709"/>
  <c r="S708"/>
  <c r="S706"/>
  <c r="O711"/>
  <c r="AF711"/>
  <c r="M711"/>
  <c r="AE711"/>
  <c r="AR710"/>
  <c r="AQ710"/>
  <c r="AP710"/>
  <c r="AM710"/>
  <c r="AD710"/>
  <c r="AC710"/>
  <c r="AH710"/>
  <c r="AA710"/>
  <c r="Z710"/>
  <c r="Y710"/>
  <c r="X710"/>
  <c r="AL710"/>
  <c r="W710"/>
  <c r="V710"/>
  <c r="V709"/>
  <c r="V708"/>
  <c r="R710"/>
  <c r="Q710"/>
  <c r="AG710"/>
  <c r="P710"/>
  <c r="N710"/>
  <c r="M710"/>
  <c r="M709"/>
  <c r="M708"/>
  <c r="L710"/>
  <c r="L709"/>
  <c r="L708"/>
  <c r="L706"/>
  <c r="AP709"/>
  <c r="AM709"/>
  <c r="AD709"/>
  <c r="AD708"/>
  <c r="AC709"/>
  <c r="AA709"/>
  <c r="Z709"/>
  <c r="Y709"/>
  <c r="X709"/>
  <c r="R709"/>
  <c r="R708"/>
  <c r="Q709"/>
  <c r="P709"/>
  <c r="N709"/>
  <c r="AP708"/>
  <c r="AA708"/>
  <c r="Z708"/>
  <c r="Z706"/>
  <c r="Y708"/>
  <c r="X708"/>
  <c r="X706"/>
  <c r="Q708"/>
  <c r="N708"/>
  <c r="N706"/>
  <c r="AP707"/>
  <c r="AA707"/>
  <c r="S707"/>
  <c r="AP706"/>
  <c r="AD706"/>
  <c r="AA706"/>
  <c r="Y706"/>
  <c r="AM706"/>
  <c r="R706"/>
  <c r="M706"/>
  <c r="AP705"/>
  <c r="AA705"/>
  <c r="S705"/>
  <c r="AP704"/>
  <c r="AA704"/>
  <c r="S704"/>
  <c r="S703"/>
  <c r="S702"/>
  <c r="S701"/>
  <c r="S699"/>
  <c r="AQ703"/>
  <c r="AQ702"/>
  <c r="AQ701"/>
  <c r="AQ699"/>
  <c r="AP703"/>
  <c r="AD703"/>
  <c r="AC703"/>
  <c r="AC702"/>
  <c r="AA703"/>
  <c r="Z703"/>
  <c r="Y703"/>
  <c r="X703"/>
  <c r="X702"/>
  <c r="X701"/>
  <c r="X699"/>
  <c r="W703"/>
  <c r="W702"/>
  <c r="W701"/>
  <c r="W699"/>
  <c r="V703"/>
  <c r="R703"/>
  <c r="R702"/>
  <c r="R701"/>
  <c r="R699"/>
  <c r="Q703"/>
  <c r="P703"/>
  <c r="O703"/>
  <c r="N703"/>
  <c r="N702"/>
  <c r="N701"/>
  <c r="N699"/>
  <c r="M703"/>
  <c r="M702"/>
  <c r="M701"/>
  <c r="M699"/>
  <c r="L703"/>
  <c r="AP702"/>
  <c r="AD702"/>
  <c r="AA702"/>
  <c r="Z702"/>
  <c r="Z701"/>
  <c r="Z699"/>
  <c r="Y702"/>
  <c r="Y701"/>
  <c r="Y699"/>
  <c r="V702"/>
  <c r="V701"/>
  <c r="V699"/>
  <c r="Q702"/>
  <c r="P702"/>
  <c r="P701"/>
  <c r="P699"/>
  <c r="O702"/>
  <c r="O701"/>
  <c r="L702"/>
  <c r="L701"/>
  <c r="L699"/>
  <c r="AP701"/>
  <c r="AD701"/>
  <c r="AC701"/>
  <c r="AC699"/>
  <c r="AA701"/>
  <c r="Q701"/>
  <c r="AP700"/>
  <c r="AA700"/>
  <c r="S700"/>
  <c r="AP699"/>
  <c r="AD699"/>
  <c r="AA699"/>
  <c r="Q699"/>
  <c r="O699"/>
  <c r="AP698"/>
  <c r="AA698"/>
  <c r="S698"/>
  <c r="AP697"/>
  <c r="AA697"/>
  <c r="AA297"/>
  <c r="S697"/>
  <c r="AQ696"/>
  <c r="AP696"/>
  <c r="AD696"/>
  <c r="AC696"/>
  <c r="AA696"/>
  <c r="Z696"/>
  <c r="Y696"/>
  <c r="Y695"/>
  <c r="Y694"/>
  <c r="Y692"/>
  <c r="X696"/>
  <c r="X695"/>
  <c r="X694"/>
  <c r="X692"/>
  <c r="W696"/>
  <c r="V696"/>
  <c r="S696"/>
  <c r="S695"/>
  <c r="S694"/>
  <c r="S692"/>
  <c r="R696"/>
  <c r="Q696"/>
  <c r="P696"/>
  <c r="O696"/>
  <c r="O695"/>
  <c r="O694"/>
  <c r="O692"/>
  <c r="N696"/>
  <c r="N695"/>
  <c r="N694"/>
  <c r="N692"/>
  <c r="M696"/>
  <c r="L696"/>
  <c r="AQ695"/>
  <c r="AP695"/>
  <c r="AD695"/>
  <c r="AC695"/>
  <c r="AA695"/>
  <c r="Z695"/>
  <c r="Z694"/>
  <c r="Z692"/>
  <c r="W695"/>
  <c r="V695"/>
  <c r="R695"/>
  <c r="Q695"/>
  <c r="Q694"/>
  <c r="Q692"/>
  <c r="P695"/>
  <c r="P694"/>
  <c r="P692"/>
  <c r="M695"/>
  <c r="L695"/>
  <c r="AQ694"/>
  <c r="AQ692"/>
  <c r="AP694"/>
  <c r="AD694"/>
  <c r="AD692"/>
  <c r="AC694"/>
  <c r="AA694"/>
  <c r="W694"/>
  <c r="W692"/>
  <c r="V694"/>
  <c r="R694"/>
  <c r="M694"/>
  <c r="M692"/>
  <c r="L694"/>
  <c r="AP693"/>
  <c r="AA693"/>
  <c r="S693"/>
  <c r="AP692"/>
  <c r="AC692"/>
  <c r="AA692"/>
  <c r="V692"/>
  <c r="R692"/>
  <c r="L692"/>
  <c r="AP691"/>
  <c r="AA691"/>
  <c r="S691"/>
  <c r="AV690"/>
  <c r="AU690"/>
  <c r="AT690"/>
  <c r="AS690"/>
  <c r="AR690"/>
  <c r="AP690"/>
  <c r="AM690"/>
  <c r="AL690"/>
  <c r="AK690"/>
  <c r="AH690"/>
  <c r="AG690"/>
  <c r="AA690"/>
  <c r="S690"/>
  <c r="S689"/>
  <c r="S688"/>
  <c r="S687"/>
  <c r="S685"/>
  <c r="O690"/>
  <c r="AF690"/>
  <c r="M690"/>
  <c r="AQ689"/>
  <c r="AU689"/>
  <c r="AP689"/>
  <c r="AM689"/>
  <c r="AD689"/>
  <c r="AD688"/>
  <c r="AD687"/>
  <c r="AD685"/>
  <c r="AC689"/>
  <c r="AA689"/>
  <c r="Z689"/>
  <c r="Y689"/>
  <c r="X689"/>
  <c r="X688"/>
  <c r="W689"/>
  <c r="AT689"/>
  <c r="V689"/>
  <c r="AS689"/>
  <c r="R689"/>
  <c r="Q689"/>
  <c r="AG689"/>
  <c r="P689"/>
  <c r="N689"/>
  <c r="N688"/>
  <c r="N687"/>
  <c r="N685"/>
  <c r="L689"/>
  <c r="AQ688"/>
  <c r="AQ687"/>
  <c r="AP688"/>
  <c r="AA688"/>
  <c r="Z688"/>
  <c r="Z687"/>
  <c r="Z685"/>
  <c r="Y688"/>
  <c r="Y687"/>
  <c r="Y685"/>
  <c r="V688"/>
  <c r="V687"/>
  <c r="P688"/>
  <c r="L688"/>
  <c r="L687"/>
  <c r="L685"/>
  <c r="AP687"/>
  <c r="AA687"/>
  <c r="AP686"/>
  <c r="AA686"/>
  <c r="S686"/>
  <c r="AP685"/>
  <c r="AA685"/>
  <c r="AP684"/>
  <c r="AA684"/>
  <c r="S684"/>
  <c r="AV683"/>
  <c r="AU683"/>
  <c r="AT683"/>
  <c r="AS683"/>
  <c r="AR683"/>
  <c r="AP683"/>
  <c r="AM683"/>
  <c r="AL683"/>
  <c r="AK683"/>
  <c r="AH683"/>
  <c r="AG683"/>
  <c r="AA683"/>
  <c r="S683"/>
  <c r="S682"/>
  <c r="O683"/>
  <c r="AF683"/>
  <c r="M683"/>
  <c r="AV682"/>
  <c r="AR682"/>
  <c r="AQ682"/>
  <c r="AP682"/>
  <c r="AL682"/>
  <c r="AD682"/>
  <c r="AC682"/>
  <c r="AA682"/>
  <c r="Z682"/>
  <c r="Y682"/>
  <c r="AM682"/>
  <c r="X682"/>
  <c r="W682"/>
  <c r="AT682"/>
  <c r="V682"/>
  <c r="R682"/>
  <c r="Q682"/>
  <c r="Q678"/>
  <c r="P682"/>
  <c r="N682"/>
  <c r="M682"/>
  <c r="L682"/>
  <c r="AP681"/>
  <c r="AA681"/>
  <c r="S681"/>
  <c r="AV680"/>
  <c r="AU680"/>
  <c r="AT680"/>
  <c r="AS680"/>
  <c r="AR680"/>
  <c r="AP680"/>
  <c r="AM680"/>
  <c r="AL680"/>
  <c r="AK680"/>
  <c r="AH680"/>
  <c r="AG680"/>
  <c r="AA680"/>
  <c r="S680"/>
  <c r="S679"/>
  <c r="O680"/>
  <c r="M680"/>
  <c r="AR679"/>
  <c r="AQ679"/>
  <c r="AU679"/>
  <c r="AP679"/>
  <c r="AH679"/>
  <c r="AD679"/>
  <c r="AD678"/>
  <c r="AD677"/>
  <c r="AD675"/>
  <c r="AC679"/>
  <c r="AC678"/>
  <c r="AA679"/>
  <c r="Z679"/>
  <c r="Y679"/>
  <c r="Y678"/>
  <c r="X679"/>
  <c r="X678"/>
  <c r="X677"/>
  <c r="W679"/>
  <c r="AL679"/>
  <c r="V679"/>
  <c r="V678"/>
  <c r="R679"/>
  <c r="AV679"/>
  <c r="Q679"/>
  <c r="AG679"/>
  <c r="P679"/>
  <c r="N679"/>
  <c r="N678"/>
  <c r="N677"/>
  <c r="N675"/>
  <c r="M679"/>
  <c r="M678"/>
  <c r="M677"/>
  <c r="M675"/>
  <c r="L679"/>
  <c r="L678"/>
  <c r="L677"/>
  <c r="L675"/>
  <c r="AP678"/>
  <c r="AA678"/>
  <c r="Z678"/>
  <c r="Z677"/>
  <c r="Z675"/>
  <c r="P678"/>
  <c r="P677"/>
  <c r="P675"/>
  <c r="AP677"/>
  <c r="AA677"/>
  <c r="Y677"/>
  <c r="AP676"/>
  <c r="AA676"/>
  <c r="S676"/>
  <c r="AP675"/>
  <c r="AA675"/>
  <c r="AP674"/>
  <c r="AA674"/>
  <c r="S674"/>
  <c r="AP673"/>
  <c r="AA673"/>
  <c r="S673"/>
  <c r="S672"/>
  <c r="S671"/>
  <c r="S670"/>
  <c r="S668"/>
  <c r="AQ672"/>
  <c r="AP672"/>
  <c r="AD672"/>
  <c r="AC672"/>
  <c r="AA672"/>
  <c r="Z672"/>
  <c r="Z671"/>
  <c r="Z670"/>
  <c r="Z668"/>
  <c r="Y672"/>
  <c r="Y671"/>
  <c r="Y670"/>
  <c r="Y668"/>
  <c r="X672"/>
  <c r="W672"/>
  <c r="V672"/>
  <c r="R672"/>
  <c r="Q672"/>
  <c r="P672"/>
  <c r="P671"/>
  <c r="P670"/>
  <c r="P668"/>
  <c r="O672"/>
  <c r="O671"/>
  <c r="O670"/>
  <c r="O668"/>
  <c r="N672"/>
  <c r="M672"/>
  <c r="L672"/>
  <c r="AQ671"/>
  <c r="AP671"/>
  <c r="AD671"/>
  <c r="AC671"/>
  <c r="AC670"/>
  <c r="AC668"/>
  <c r="AA671"/>
  <c r="X671"/>
  <c r="W671"/>
  <c r="V671"/>
  <c r="R671"/>
  <c r="R670"/>
  <c r="R668"/>
  <c r="Q671"/>
  <c r="Q670"/>
  <c r="N671"/>
  <c r="M671"/>
  <c r="L671"/>
  <c r="AQ670"/>
  <c r="AP670"/>
  <c r="AD670"/>
  <c r="AA670"/>
  <c r="X670"/>
  <c r="X668"/>
  <c r="W670"/>
  <c r="V670"/>
  <c r="V668"/>
  <c r="N670"/>
  <c r="N668"/>
  <c r="M670"/>
  <c r="L670"/>
  <c r="L668"/>
  <c r="AP669"/>
  <c r="AA669"/>
  <c r="S669"/>
  <c r="AQ668"/>
  <c r="AP668"/>
  <c r="AD668"/>
  <c r="AA668"/>
  <c r="W668"/>
  <c r="Q668"/>
  <c r="M668"/>
  <c r="AP667"/>
  <c r="AA667"/>
  <c r="S667"/>
  <c r="AU666"/>
  <c r="AS666"/>
  <c r="AP666"/>
  <c r="AM666"/>
  <c r="AL666"/>
  <c r="AH666"/>
  <c r="AG666"/>
  <c r="AF666"/>
  <c r="AA666"/>
  <c r="AA335"/>
  <c r="S666"/>
  <c r="S665"/>
  <c r="S664"/>
  <c r="S663"/>
  <c r="O666"/>
  <c r="AE666"/>
  <c r="M666"/>
  <c r="AQ665"/>
  <c r="AP665"/>
  <c r="AH665"/>
  <c r="AF665"/>
  <c r="AD665"/>
  <c r="AD664"/>
  <c r="AD663"/>
  <c r="AD655"/>
  <c r="AC665"/>
  <c r="AC664"/>
  <c r="AA665"/>
  <c r="Z665"/>
  <c r="Y665"/>
  <c r="AM665"/>
  <c r="X665"/>
  <c r="AL665"/>
  <c r="W665"/>
  <c r="AS665"/>
  <c r="V665"/>
  <c r="R665"/>
  <c r="R664"/>
  <c r="R663"/>
  <c r="R655"/>
  <c r="Q665"/>
  <c r="AG665"/>
  <c r="P665"/>
  <c r="O665"/>
  <c r="AE665"/>
  <c r="N665"/>
  <c r="M665"/>
  <c r="L665"/>
  <c r="AP664"/>
  <c r="AF664"/>
  <c r="AA664"/>
  <c r="Z664"/>
  <c r="Y664"/>
  <c r="AM664"/>
  <c r="X664"/>
  <c r="W664"/>
  <c r="V664"/>
  <c r="V663"/>
  <c r="V655"/>
  <c r="Q664"/>
  <c r="AG664"/>
  <c r="P664"/>
  <c r="O664"/>
  <c r="AE664"/>
  <c r="N664"/>
  <c r="M664"/>
  <c r="M663"/>
  <c r="M655"/>
  <c r="L664"/>
  <c r="L663"/>
  <c r="AP663"/>
  <c r="AA663"/>
  <c r="Z663"/>
  <c r="Y663"/>
  <c r="X663"/>
  <c r="Q663"/>
  <c r="Q655"/>
  <c r="AG655"/>
  <c r="P663"/>
  <c r="O663"/>
  <c r="N663"/>
  <c r="AP662"/>
  <c r="AA662"/>
  <c r="S662"/>
  <c r="AP661"/>
  <c r="AA661"/>
  <c r="S661"/>
  <c r="AP660"/>
  <c r="AM660"/>
  <c r="AA660"/>
  <c r="S660"/>
  <c r="S659"/>
  <c r="S658"/>
  <c r="S657"/>
  <c r="AQ659"/>
  <c r="AQ658"/>
  <c r="AQ657"/>
  <c r="AP659"/>
  <c r="AM659"/>
  <c r="AD659"/>
  <c r="AC659"/>
  <c r="AC658"/>
  <c r="AA659"/>
  <c r="Z659"/>
  <c r="Z658"/>
  <c r="Z657"/>
  <c r="Z655"/>
  <c r="Y659"/>
  <c r="X659"/>
  <c r="X658"/>
  <c r="X657"/>
  <c r="X655"/>
  <c r="W659"/>
  <c r="V659"/>
  <c r="V658"/>
  <c r="V657"/>
  <c r="R659"/>
  <c r="R658"/>
  <c r="Q659"/>
  <c r="P659"/>
  <c r="P658"/>
  <c r="P657"/>
  <c r="P655"/>
  <c r="O659"/>
  <c r="N659"/>
  <c r="N658"/>
  <c r="N657"/>
  <c r="N655"/>
  <c r="N654"/>
  <c r="M659"/>
  <c r="L659"/>
  <c r="L658"/>
  <c r="L657"/>
  <c r="AP658"/>
  <c r="AD658"/>
  <c r="AD657"/>
  <c r="AA658"/>
  <c r="Y658"/>
  <c r="W658"/>
  <c r="W657"/>
  <c r="Q658"/>
  <c r="Q657"/>
  <c r="O658"/>
  <c r="O657"/>
  <c r="M658"/>
  <c r="M657"/>
  <c r="AP657"/>
  <c r="AC657"/>
  <c r="AA657"/>
  <c r="R657"/>
  <c r="AP656"/>
  <c r="AA656"/>
  <c r="S656"/>
  <c r="AP655"/>
  <c r="AA655"/>
  <c r="AP654"/>
  <c r="AA654"/>
  <c r="AP653"/>
  <c r="AA653"/>
  <c r="S653"/>
  <c r="AP652"/>
  <c r="AA652"/>
  <c r="S652"/>
  <c r="AQ651"/>
  <c r="AP651"/>
  <c r="AD651"/>
  <c r="AD650"/>
  <c r="AD649"/>
  <c r="AD647"/>
  <c r="AC651"/>
  <c r="AA651"/>
  <c r="Z651"/>
  <c r="Y651"/>
  <c r="X651"/>
  <c r="W651"/>
  <c r="V651"/>
  <c r="V650"/>
  <c r="V649"/>
  <c r="V647"/>
  <c r="R651"/>
  <c r="Q651"/>
  <c r="P651"/>
  <c r="O651"/>
  <c r="O650"/>
  <c r="O649"/>
  <c r="O647"/>
  <c r="N651"/>
  <c r="M651"/>
  <c r="L651"/>
  <c r="L650"/>
  <c r="L649"/>
  <c r="L647"/>
  <c r="AQ650"/>
  <c r="AQ649"/>
  <c r="AQ647"/>
  <c r="AP650"/>
  <c r="AC650"/>
  <c r="AA650"/>
  <c r="Z650"/>
  <c r="Y650"/>
  <c r="X650"/>
  <c r="X649"/>
  <c r="X647"/>
  <c r="W650"/>
  <c r="W649"/>
  <c r="R650"/>
  <c r="Q650"/>
  <c r="Q649"/>
  <c r="Q647"/>
  <c r="P650"/>
  <c r="N650"/>
  <c r="N649"/>
  <c r="N647"/>
  <c r="M650"/>
  <c r="M649"/>
  <c r="AP649"/>
  <c r="AC649"/>
  <c r="AC647"/>
  <c r="AA649"/>
  <c r="Z649"/>
  <c r="Z647"/>
  <c r="Y649"/>
  <c r="R649"/>
  <c r="R647"/>
  <c r="P649"/>
  <c r="P647"/>
  <c r="AP648"/>
  <c r="AA648"/>
  <c r="S648"/>
  <c r="AP647"/>
  <c r="AA647"/>
  <c r="Y647"/>
  <c r="W647"/>
  <c r="M647"/>
  <c r="AP646"/>
  <c r="AA646"/>
  <c r="S646"/>
  <c r="AP645"/>
  <c r="AM645"/>
  <c r="AG645"/>
  <c r="AF645"/>
  <c r="AA645"/>
  <c r="S645"/>
  <c r="S644"/>
  <c r="O645"/>
  <c r="AQ644"/>
  <c r="AP644"/>
  <c r="AF644"/>
  <c r="AD644"/>
  <c r="AC644"/>
  <c r="AA644"/>
  <c r="Z644"/>
  <c r="Z639"/>
  <c r="Z638"/>
  <c r="Y644"/>
  <c r="X644"/>
  <c r="AM644"/>
  <c r="W644"/>
  <c r="V644"/>
  <c r="V639"/>
  <c r="R644"/>
  <c r="Q644"/>
  <c r="P644"/>
  <c r="P639"/>
  <c r="O644"/>
  <c r="N644"/>
  <c r="M644"/>
  <c r="L644"/>
  <c r="L639"/>
  <c r="L638"/>
  <c r="AP643"/>
  <c r="AA643"/>
  <c r="S643"/>
  <c r="AP642"/>
  <c r="AA642"/>
  <c r="S642"/>
  <c r="M642"/>
  <c r="AE642"/>
  <c r="AV641"/>
  <c r="AU641"/>
  <c r="AT641"/>
  <c r="AS641"/>
  <c r="AR641"/>
  <c r="AP641"/>
  <c r="AM641"/>
  <c r="AL641"/>
  <c r="AK641"/>
  <c r="AA641"/>
  <c r="S641"/>
  <c r="O641"/>
  <c r="M641"/>
  <c r="AE641"/>
  <c r="AQ640"/>
  <c r="AV640"/>
  <c r="AP640"/>
  <c r="AD640"/>
  <c r="AD639"/>
  <c r="AD638"/>
  <c r="AC640"/>
  <c r="AA640"/>
  <c r="Z640"/>
  <c r="Y640"/>
  <c r="Y639"/>
  <c r="AM639"/>
  <c r="X640"/>
  <c r="W640"/>
  <c r="AK640"/>
  <c r="V640"/>
  <c r="AR640"/>
  <c r="R640"/>
  <c r="Q640"/>
  <c r="P640"/>
  <c r="O640"/>
  <c r="O639"/>
  <c r="O638"/>
  <c r="N640"/>
  <c r="L640"/>
  <c r="AP639"/>
  <c r="AC639"/>
  <c r="AC638"/>
  <c r="AA639"/>
  <c r="X639"/>
  <c r="R639"/>
  <c r="R638"/>
  <c r="Q639"/>
  <c r="N639"/>
  <c r="AP638"/>
  <c r="AA638"/>
  <c r="Y638"/>
  <c r="AM638"/>
  <c r="X638"/>
  <c r="Q638"/>
  <c r="N638"/>
  <c r="AP637"/>
  <c r="AA637"/>
  <c r="S637"/>
  <c r="AV636"/>
  <c r="AU636"/>
  <c r="AT636"/>
  <c r="AS636"/>
  <c r="AR636"/>
  <c r="AP636"/>
  <c r="AM636"/>
  <c r="AL636"/>
  <c r="AK636"/>
  <c r="AE636"/>
  <c r="AA636"/>
  <c r="S636"/>
  <c r="O636"/>
  <c r="M636"/>
  <c r="M632"/>
  <c r="M631"/>
  <c r="M630"/>
  <c r="AP635"/>
  <c r="AA635"/>
  <c r="S635"/>
  <c r="AP634"/>
  <c r="AA634"/>
  <c r="S634"/>
  <c r="AP633"/>
  <c r="AA633"/>
  <c r="S633"/>
  <c r="AV632"/>
  <c r="AT632"/>
  <c r="AQ632"/>
  <c r="AP632"/>
  <c r="AD632"/>
  <c r="AC632"/>
  <c r="AC631"/>
  <c r="AA632"/>
  <c r="Z632"/>
  <c r="Z631"/>
  <c r="Z630"/>
  <c r="Z628"/>
  <c r="Y632"/>
  <c r="AM632"/>
  <c r="X632"/>
  <c r="AL632"/>
  <c r="W632"/>
  <c r="AU632"/>
  <c r="V632"/>
  <c r="R632"/>
  <c r="R631"/>
  <c r="Q632"/>
  <c r="P632"/>
  <c r="P631"/>
  <c r="P630"/>
  <c r="O632"/>
  <c r="N632"/>
  <c r="N631"/>
  <c r="N630"/>
  <c r="N628"/>
  <c r="L632"/>
  <c r="L631"/>
  <c r="L630"/>
  <c r="AQ631"/>
  <c r="AU631"/>
  <c r="AP631"/>
  <c r="AD631"/>
  <c r="AD630"/>
  <c r="AA631"/>
  <c r="Y631"/>
  <c r="Y630"/>
  <c r="W631"/>
  <c r="AK631"/>
  <c r="Q631"/>
  <c r="Q630"/>
  <c r="Q628"/>
  <c r="O631"/>
  <c r="AP630"/>
  <c r="AC630"/>
  <c r="AC628"/>
  <c r="AH628"/>
  <c r="AA630"/>
  <c r="R630"/>
  <c r="R628"/>
  <c r="AP629"/>
  <c r="AA629"/>
  <c r="S629"/>
  <c r="AP628"/>
  <c r="AD628"/>
  <c r="AA628"/>
  <c r="AP627"/>
  <c r="AA627"/>
  <c r="S627"/>
  <c r="AP626"/>
  <c r="AE626"/>
  <c r="AA626"/>
  <c r="S626"/>
  <c r="M626"/>
  <c r="AP625"/>
  <c r="AA625"/>
  <c r="S625"/>
  <c r="AP624"/>
  <c r="AA624"/>
  <c r="S624"/>
  <c r="AV623"/>
  <c r="AU623"/>
  <c r="AT623"/>
  <c r="AS623"/>
  <c r="AR623"/>
  <c r="AP623"/>
  <c r="AM623"/>
  <c r="AL623"/>
  <c r="AK623"/>
  <c r="AH623"/>
  <c r="AG623"/>
  <c r="AF623"/>
  <c r="AA623"/>
  <c r="O623"/>
  <c r="AE623"/>
  <c r="M623"/>
  <c r="AV622"/>
  <c r="AU622"/>
  <c r="AT622"/>
  <c r="AS622"/>
  <c r="AR622"/>
  <c r="AP622"/>
  <c r="AM622"/>
  <c r="AL622"/>
  <c r="AK622"/>
  <c r="AH622"/>
  <c r="AG622"/>
  <c r="AF622"/>
  <c r="AA622"/>
  <c r="O622"/>
  <c r="AE622"/>
  <c r="M622"/>
  <c r="AU621"/>
  <c r="AS621"/>
  <c r="AP621"/>
  <c r="AM621"/>
  <c r="AL621"/>
  <c r="AH621"/>
  <c r="AG621"/>
  <c r="AA621"/>
  <c r="S621"/>
  <c r="O621"/>
  <c r="AE621"/>
  <c r="M621"/>
  <c r="AV620"/>
  <c r="AU620"/>
  <c r="AT620"/>
  <c r="AS620"/>
  <c r="AR620"/>
  <c r="AP620"/>
  <c r="AM620"/>
  <c r="AL620"/>
  <c r="AK620"/>
  <c r="AH620"/>
  <c r="AG620"/>
  <c r="AE620"/>
  <c r="AA620"/>
  <c r="S620"/>
  <c r="S619"/>
  <c r="O620"/>
  <c r="AF620"/>
  <c r="M620"/>
  <c r="M619"/>
  <c r="M618"/>
  <c r="M617"/>
  <c r="M616"/>
  <c r="M614"/>
  <c r="AQ619"/>
  <c r="AP619"/>
  <c r="AK619"/>
  <c r="AG619"/>
  <c r="AD619"/>
  <c r="AD618"/>
  <c r="AD617"/>
  <c r="AD616"/>
  <c r="AD614"/>
  <c r="AD613"/>
  <c r="AC619"/>
  <c r="AH619"/>
  <c r="AA619"/>
  <c r="Z619"/>
  <c r="Z618"/>
  <c r="Y619"/>
  <c r="Y618"/>
  <c r="Y617"/>
  <c r="X619"/>
  <c r="AM619"/>
  <c r="W619"/>
  <c r="V619"/>
  <c r="R619"/>
  <c r="AT619"/>
  <c r="Q619"/>
  <c r="P619"/>
  <c r="P618"/>
  <c r="N619"/>
  <c r="N618"/>
  <c r="N617"/>
  <c r="L619"/>
  <c r="L618"/>
  <c r="L617"/>
  <c r="L616"/>
  <c r="L614"/>
  <c r="AP618"/>
  <c r="AC618"/>
  <c r="AA618"/>
  <c r="W618"/>
  <c r="R618"/>
  <c r="Q618"/>
  <c r="AP617"/>
  <c r="AA617"/>
  <c r="Z617"/>
  <c r="Z616"/>
  <c r="Z614"/>
  <c r="AP616"/>
  <c r="AA616"/>
  <c r="N616"/>
  <c r="N614"/>
  <c r="AP615"/>
  <c r="AA615"/>
  <c r="S615"/>
  <c r="AP614"/>
  <c r="AA614"/>
  <c r="AP613"/>
  <c r="AA613"/>
  <c r="AP612"/>
  <c r="AA612"/>
  <c r="S612"/>
  <c r="AP611"/>
  <c r="AM611"/>
  <c r="AA611"/>
  <c r="S611"/>
  <c r="S610"/>
  <c r="S609"/>
  <c r="S608"/>
  <c r="S606"/>
  <c r="AQ610"/>
  <c r="AP610"/>
  <c r="AD610"/>
  <c r="AD609"/>
  <c r="AD608"/>
  <c r="AC610"/>
  <c r="AA610"/>
  <c r="Z610"/>
  <c r="Y610"/>
  <c r="X610"/>
  <c r="W610"/>
  <c r="W609"/>
  <c r="V610"/>
  <c r="R610"/>
  <c r="Q610"/>
  <c r="Q609"/>
  <c r="Q608"/>
  <c r="Q606"/>
  <c r="P610"/>
  <c r="O610"/>
  <c r="O609"/>
  <c r="O608"/>
  <c r="O606"/>
  <c r="N610"/>
  <c r="M610"/>
  <c r="M609"/>
  <c r="L610"/>
  <c r="AQ609"/>
  <c r="AQ608"/>
  <c r="AQ606"/>
  <c r="AP609"/>
  <c r="AC609"/>
  <c r="AC608"/>
  <c r="AC606"/>
  <c r="AA609"/>
  <c r="Z609"/>
  <c r="Z608"/>
  <c r="Z606"/>
  <c r="X609"/>
  <c r="X608"/>
  <c r="X606"/>
  <c r="V609"/>
  <c r="V608"/>
  <c r="V606"/>
  <c r="R609"/>
  <c r="R608"/>
  <c r="R606"/>
  <c r="P609"/>
  <c r="P608"/>
  <c r="P606"/>
  <c r="N609"/>
  <c r="N608"/>
  <c r="N606"/>
  <c r="L609"/>
  <c r="L608"/>
  <c r="L606"/>
  <c r="AP608"/>
  <c r="AA608"/>
  <c r="W608"/>
  <c r="W606"/>
  <c r="M608"/>
  <c r="M606"/>
  <c r="AP607"/>
  <c r="AA607"/>
  <c r="S607"/>
  <c r="AP606"/>
  <c r="AD606"/>
  <c r="AA606"/>
  <c r="AP605"/>
  <c r="AA605"/>
  <c r="S605"/>
  <c r="AP604"/>
  <c r="AM604"/>
  <c r="AA604"/>
  <c r="S604"/>
  <c r="S603"/>
  <c r="M604"/>
  <c r="AQ603"/>
  <c r="AQ602"/>
  <c r="AQ601"/>
  <c r="AP603"/>
  <c r="AD603"/>
  <c r="AC603"/>
  <c r="AC602"/>
  <c r="AC601"/>
  <c r="AC599"/>
  <c r="AC598"/>
  <c r="AA603"/>
  <c r="Z603"/>
  <c r="Z602"/>
  <c r="Z601"/>
  <c r="Z599"/>
  <c r="Z598"/>
  <c r="Y603"/>
  <c r="AM603"/>
  <c r="X603"/>
  <c r="W603"/>
  <c r="V603"/>
  <c r="R603"/>
  <c r="R602"/>
  <c r="R601"/>
  <c r="R599"/>
  <c r="R598"/>
  <c r="Q603"/>
  <c r="P603"/>
  <c r="P602"/>
  <c r="P601"/>
  <c r="P599"/>
  <c r="P598"/>
  <c r="O603"/>
  <c r="O602"/>
  <c r="O601"/>
  <c r="N603"/>
  <c r="L603"/>
  <c r="AP602"/>
  <c r="AD602"/>
  <c r="AD601"/>
  <c r="AA602"/>
  <c r="X602"/>
  <c r="X601"/>
  <c r="X599"/>
  <c r="X598"/>
  <c r="W602"/>
  <c r="V602"/>
  <c r="Q602"/>
  <c r="N602"/>
  <c r="N601"/>
  <c r="L602"/>
  <c r="AP601"/>
  <c r="AA601"/>
  <c r="W601"/>
  <c r="V601"/>
  <c r="V599"/>
  <c r="V598"/>
  <c r="Q601"/>
  <c r="L601"/>
  <c r="L599"/>
  <c r="L598"/>
  <c r="AP600"/>
  <c r="AA600"/>
  <c r="S600"/>
  <c r="AQ599"/>
  <c r="AQ598"/>
  <c r="AP599"/>
  <c r="AD599"/>
  <c r="AD598"/>
  <c r="AA599"/>
  <c r="W599"/>
  <c r="Q599"/>
  <c r="Q598"/>
  <c r="O599"/>
  <c r="N599"/>
  <c r="N598"/>
  <c r="AP598"/>
  <c r="AA598"/>
  <c r="W598"/>
  <c r="AP597"/>
  <c r="AA597"/>
  <c r="S597"/>
  <c r="AP596"/>
  <c r="AA596"/>
  <c r="S596"/>
  <c r="S595"/>
  <c r="S594"/>
  <c r="S593"/>
  <c r="AQ595"/>
  <c r="AP595"/>
  <c r="AD595"/>
  <c r="AD594"/>
  <c r="AC595"/>
  <c r="AC594"/>
  <c r="AC593"/>
  <c r="AA595"/>
  <c r="Z595"/>
  <c r="Y595"/>
  <c r="X595"/>
  <c r="X594"/>
  <c r="W595"/>
  <c r="V595"/>
  <c r="R595"/>
  <c r="R594"/>
  <c r="R593"/>
  <c r="Q595"/>
  <c r="P595"/>
  <c r="O595"/>
  <c r="N595"/>
  <c r="N594"/>
  <c r="N593"/>
  <c r="M595"/>
  <c r="L595"/>
  <c r="AQ594"/>
  <c r="AQ593"/>
  <c r="AP594"/>
  <c r="AA594"/>
  <c r="Z594"/>
  <c r="Z593"/>
  <c r="Y594"/>
  <c r="W594"/>
  <c r="W593"/>
  <c r="V594"/>
  <c r="V593"/>
  <c r="Q594"/>
  <c r="P594"/>
  <c r="P593"/>
  <c r="O594"/>
  <c r="M594"/>
  <c r="L594"/>
  <c r="L593"/>
  <c r="AP593"/>
  <c r="AD593"/>
  <c r="AA593"/>
  <c r="Y593"/>
  <c r="X593"/>
  <c r="Q593"/>
  <c r="O593"/>
  <c r="M593"/>
  <c r="AP592"/>
  <c r="AA592"/>
  <c r="S592"/>
  <c r="AV591"/>
  <c r="AU591"/>
  <c r="AT591"/>
  <c r="AS591"/>
  <c r="AR591"/>
  <c r="AP591"/>
  <c r="AM591"/>
  <c r="AL591"/>
  <c r="AK591"/>
  <c r="AH591"/>
  <c r="AG591"/>
  <c r="AF591"/>
  <c r="AA591"/>
  <c r="S591"/>
  <c r="S590"/>
  <c r="S589"/>
  <c r="S588"/>
  <c r="O591"/>
  <c r="O590"/>
  <c r="AV590"/>
  <c r="AT590"/>
  <c r="AR590"/>
  <c r="AQ590"/>
  <c r="AP590"/>
  <c r="AF590"/>
  <c r="AD590"/>
  <c r="AC590"/>
  <c r="AA590"/>
  <c r="Z590"/>
  <c r="Z589"/>
  <c r="Z588"/>
  <c r="Z586"/>
  <c r="Y590"/>
  <c r="X590"/>
  <c r="AM590"/>
  <c r="W590"/>
  <c r="AK590"/>
  <c r="V590"/>
  <c r="V589"/>
  <c r="AR589"/>
  <c r="R590"/>
  <c r="Q590"/>
  <c r="P590"/>
  <c r="P589"/>
  <c r="N590"/>
  <c r="M590"/>
  <c r="M589"/>
  <c r="M588"/>
  <c r="M586"/>
  <c r="L590"/>
  <c r="L589"/>
  <c r="L588"/>
  <c r="AQ589"/>
  <c r="AP589"/>
  <c r="AD589"/>
  <c r="AD588"/>
  <c r="AD586"/>
  <c r="AA589"/>
  <c r="Y589"/>
  <c r="X589"/>
  <c r="X588"/>
  <c r="X586"/>
  <c r="R589"/>
  <c r="R588"/>
  <c r="R586"/>
  <c r="O589"/>
  <c r="N589"/>
  <c r="N588"/>
  <c r="N586"/>
  <c r="AP588"/>
  <c r="AA588"/>
  <c r="Y588"/>
  <c r="P588"/>
  <c r="AF588"/>
  <c r="O588"/>
  <c r="AP587"/>
  <c r="AA587"/>
  <c r="S587"/>
  <c r="AP586"/>
  <c r="AA586"/>
  <c r="P586"/>
  <c r="AF586"/>
  <c r="O586"/>
  <c r="AP585"/>
  <c r="AA585"/>
  <c r="S585"/>
  <c r="AV584"/>
  <c r="AT584"/>
  <c r="AR584"/>
  <c r="AP584"/>
  <c r="AK584"/>
  <c r="AA584"/>
  <c r="S584"/>
  <c r="O584"/>
  <c r="AE584"/>
  <c r="M584"/>
  <c r="AV583"/>
  <c r="AU583"/>
  <c r="AT583"/>
  <c r="AS583"/>
  <c r="AR583"/>
  <c r="AP583"/>
  <c r="AM583"/>
  <c r="AL583"/>
  <c r="AK583"/>
  <c r="AA583"/>
  <c r="S583"/>
  <c r="O583"/>
  <c r="AP582"/>
  <c r="AA582"/>
  <c r="S582"/>
  <c r="O582"/>
  <c r="AP581"/>
  <c r="AA581"/>
  <c r="S581"/>
  <c r="O581"/>
  <c r="O579"/>
  <c r="AU580"/>
  <c r="AS580"/>
  <c r="AP580"/>
  <c r="AM580"/>
  <c r="AL580"/>
  <c r="AG580"/>
  <c r="AA580"/>
  <c r="S580"/>
  <c r="S319"/>
  <c r="O580"/>
  <c r="AE580"/>
  <c r="M580"/>
  <c r="M579"/>
  <c r="M578"/>
  <c r="M577"/>
  <c r="AV579"/>
  <c r="AU579"/>
  <c r="AT579"/>
  <c r="AQ579"/>
  <c r="AP579"/>
  <c r="AH579"/>
  <c r="AD579"/>
  <c r="AC579"/>
  <c r="AC578"/>
  <c r="AA579"/>
  <c r="Z579"/>
  <c r="Z578"/>
  <c r="Y579"/>
  <c r="X579"/>
  <c r="W579"/>
  <c r="AS579"/>
  <c r="V579"/>
  <c r="AR579"/>
  <c r="R579"/>
  <c r="AK579"/>
  <c r="Q579"/>
  <c r="AG579"/>
  <c r="P579"/>
  <c r="P578"/>
  <c r="AG578"/>
  <c r="N579"/>
  <c r="N578"/>
  <c r="N577"/>
  <c r="L579"/>
  <c r="L578"/>
  <c r="L577"/>
  <c r="AQ578"/>
  <c r="AP578"/>
  <c r="AD578"/>
  <c r="AD577"/>
  <c r="AA578"/>
  <c r="Y578"/>
  <c r="Y577"/>
  <c r="W578"/>
  <c r="W577"/>
  <c r="Q578"/>
  <c r="Q577"/>
  <c r="AP577"/>
  <c r="AA577"/>
  <c r="Z577"/>
  <c r="AV576"/>
  <c r="AT576"/>
  <c r="AR576"/>
  <c r="AP576"/>
  <c r="AK576"/>
  <c r="AA576"/>
  <c r="S576"/>
  <c r="O576"/>
  <c r="AF576"/>
  <c r="M576"/>
  <c r="AV575"/>
  <c r="AU575"/>
  <c r="AT575"/>
  <c r="AS575"/>
  <c r="AR575"/>
  <c r="AP575"/>
  <c r="AL575"/>
  <c r="AK575"/>
  <c r="AH575"/>
  <c r="AG575"/>
  <c r="AA575"/>
  <c r="S575"/>
  <c r="O575"/>
  <c r="AF575"/>
  <c r="M575"/>
  <c r="AP574"/>
  <c r="AA574"/>
  <c r="S574"/>
  <c r="O574"/>
  <c r="AV573"/>
  <c r="AU573"/>
  <c r="AT573"/>
  <c r="AS573"/>
  <c r="AR573"/>
  <c r="AP573"/>
  <c r="AL573"/>
  <c r="AK573"/>
  <c r="AH573"/>
  <c r="AG573"/>
  <c r="AF573"/>
  <c r="AA573"/>
  <c r="S573"/>
  <c r="O573"/>
  <c r="AE573"/>
  <c r="M573"/>
  <c r="AU572"/>
  <c r="AT572"/>
  <c r="AQ572"/>
  <c r="AP572"/>
  <c r="AH572"/>
  <c r="AG572"/>
  <c r="AD572"/>
  <c r="AC572"/>
  <c r="AC571"/>
  <c r="AA572"/>
  <c r="Z572"/>
  <c r="Z571"/>
  <c r="Z570"/>
  <c r="Z568"/>
  <c r="Y572"/>
  <c r="X572"/>
  <c r="AL572"/>
  <c r="W572"/>
  <c r="V572"/>
  <c r="V571"/>
  <c r="R572"/>
  <c r="AV572"/>
  <c r="Q572"/>
  <c r="P572"/>
  <c r="N572"/>
  <c r="N571"/>
  <c r="N570"/>
  <c r="N568"/>
  <c r="M572"/>
  <c r="L572"/>
  <c r="AQ571"/>
  <c r="AU571"/>
  <c r="AP571"/>
  <c r="AD571"/>
  <c r="AD570"/>
  <c r="AA571"/>
  <c r="Y571"/>
  <c r="Y570"/>
  <c r="Y568"/>
  <c r="W571"/>
  <c r="Q571"/>
  <c r="M571"/>
  <c r="M570"/>
  <c r="M568"/>
  <c r="AP570"/>
  <c r="AA570"/>
  <c r="AP569"/>
  <c r="AA569"/>
  <c r="S569"/>
  <c r="AP568"/>
  <c r="AA568"/>
  <c r="AP567"/>
  <c r="AA567"/>
  <c r="S567"/>
  <c r="AP566"/>
  <c r="AA566"/>
  <c r="S566"/>
  <c r="AV565"/>
  <c r="AU565"/>
  <c r="AT565"/>
  <c r="AS565"/>
  <c r="AR565"/>
  <c r="AP565"/>
  <c r="AM565"/>
  <c r="AL565"/>
  <c r="AK565"/>
  <c r="AH565"/>
  <c r="AG565"/>
  <c r="AF565"/>
  <c r="AE565"/>
  <c r="AA565"/>
  <c r="S565"/>
  <c r="O565"/>
  <c r="M565"/>
  <c r="M564"/>
  <c r="AT564"/>
  <c r="AQ564"/>
  <c r="AP564"/>
  <c r="AH564"/>
  <c r="AG564"/>
  <c r="AE564"/>
  <c r="AD564"/>
  <c r="AC564"/>
  <c r="AC560"/>
  <c r="AH560"/>
  <c r="AA564"/>
  <c r="Z564"/>
  <c r="Y564"/>
  <c r="AM564"/>
  <c r="X564"/>
  <c r="AL564"/>
  <c r="W564"/>
  <c r="V564"/>
  <c r="R564"/>
  <c r="AK564"/>
  <c r="Q564"/>
  <c r="P564"/>
  <c r="AF564"/>
  <c r="O564"/>
  <c r="O563"/>
  <c r="N564"/>
  <c r="N560"/>
  <c r="L564"/>
  <c r="AP563"/>
  <c r="AD563"/>
  <c r="AC563"/>
  <c r="AA563"/>
  <c r="Z563"/>
  <c r="W563"/>
  <c r="AK563"/>
  <c r="R563"/>
  <c r="R562"/>
  <c r="Q563"/>
  <c r="P563"/>
  <c r="AG563"/>
  <c r="AP562"/>
  <c r="AD562"/>
  <c r="AA562"/>
  <c r="Z562"/>
  <c r="Q562"/>
  <c r="P562"/>
  <c r="AP561"/>
  <c r="AA561"/>
  <c r="S561"/>
  <c r="AP560"/>
  <c r="AD560"/>
  <c r="AA560"/>
  <c r="Z560"/>
  <c r="Y560"/>
  <c r="W560"/>
  <c r="Q560"/>
  <c r="AG560"/>
  <c r="P560"/>
  <c r="O560"/>
  <c r="AF560"/>
  <c r="AP559"/>
  <c r="AA559"/>
  <c r="S559"/>
  <c r="AV558"/>
  <c r="AU558"/>
  <c r="AT558"/>
  <c r="AS558"/>
  <c r="AR558"/>
  <c r="AP558"/>
  <c r="AM558"/>
  <c r="AL558"/>
  <c r="AK558"/>
  <c r="AH558"/>
  <c r="AG558"/>
  <c r="AA558"/>
  <c r="S558"/>
  <c r="O558"/>
  <c r="M558"/>
  <c r="AP557"/>
  <c r="AA557"/>
  <c r="S557"/>
  <c r="AV556"/>
  <c r="AU556"/>
  <c r="AT556"/>
  <c r="AS556"/>
  <c r="AR556"/>
  <c r="AP556"/>
  <c r="AM556"/>
  <c r="AL556"/>
  <c r="AK556"/>
  <c r="AH556"/>
  <c r="AG556"/>
  <c r="AE556"/>
  <c r="AA556"/>
  <c r="S556"/>
  <c r="O556"/>
  <c r="M556"/>
  <c r="AU555"/>
  <c r="AS555"/>
  <c r="AP555"/>
  <c r="AM555"/>
  <c r="AL555"/>
  <c r="AA555"/>
  <c r="S555"/>
  <c r="O555"/>
  <c r="AE555"/>
  <c r="M555"/>
  <c r="M552"/>
  <c r="AV554"/>
  <c r="AU554"/>
  <c r="AT554"/>
  <c r="AS554"/>
  <c r="AR554"/>
  <c r="AP554"/>
  <c r="AM554"/>
  <c r="AL554"/>
  <c r="AK554"/>
  <c r="AH554"/>
  <c r="AG554"/>
  <c r="AA554"/>
  <c r="S554"/>
  <c r="O554"/>
  <c r="AF554"/>
  <c r="M554"/>
  <c r="AV553"/>
  <c r="AU553"/>
  <c r="AT553"/>
  <c r="AS553"/>
  <c r="AR553"/>
  <c r="AP553"/>
  <c r="AM553"/>
  <c r="AL553"/>
  <c r="AK553"/>
  <c r="AH553"/>
  <c r="AG553"/>
  <c r="AA553"/>
  <c r="O553"/>
  <c r="O552"/>
  <c r="M553"/>
  <c r="AV552"/>
  <c r="AT552"/>
  <c r="AQ552"/>
  <c r="AU552"/>
  <c r="AP552"/>
  <c r="AL552"/>
  <c r="AD552"/>
  <c r="AC552"/>
  <c r="AA552"/>
  <c r="Z552"/>
  <c r="Y552"/>
  <c r="AM552"/>
  <c r="X552"/>
  <c r="W552"/>
  <c r="AS552"/>
  <c r="V552"/>
  <c r="AR552"/>
  <c r="R552"/>
  <c r="Q552"/>
  <c r="P552"/>
  <c r="N552"/>
  <c r="L552"/>
  <c r="AP551"/>
  <c r="AA551"/>
  <c r="S551"/>
  <c r="AV550"/>
  <c r="AT550"/>
  <c r="AR550"/>
  <c r="AP550"/>
  <c r="AK550"/>
  <c r="AA550"/>
  <c r="S550"/>
  <c r="AP549"/>
  <c r="AA549"/>
  <c r="S549"/>
  <c r="AP548"/>
  <c r="AA548"/>
  <c r="S548"/>
  <c r="AP547"/>
  <c r="AA547"/>
  <c r="S547"/>
  <c r="AP546"/>
  <c r="AA546"/>
  <c r="S546"/>
  <c r="AP545"/>
  <c r="AA545"/>
  <c r="S545"/>
  <c r="AP544"/>
  <c r="AA544"/>
  <c r="S544"/>
  <c r="AP543"/>
  <c r="AA543"/>
  <c r="S543"/>
  <c r="AP542"/>
  <c r="AA542"/>
  <c r="S542"/>
  <c r="AP541"/>
  <c r="AA541"/>
  <c r="S541"/>
  <c r="AV540"/>
  <c r="AU540"/>
  <c r="AT540"/>
  <c r="AS540"/>
  <c r="AR540"/>
  <c r="AP540"/>
  <c r="AM540"/>
  <c r="AL540"/>
  <c r="AK540"/>
  <c r="AA540"/>
  <c r="S540"/>
  <c r="O540"/>
  <c r="O539"/>
  <c r="AU539"/>
  <c r="AQ539"/>
  <c r="AV539"/>
  <c r="AP539"/>
  <c r="AK539"/>
  <c r="AD539"/>
  <c r="AC539"/>
  <c r="AC537"/>
  <c r="AA539"/>
  <c r="Z539"/>
  <c r="Y539"/>
  <c r="X539"/>
  <c r="AM539"/>
  <c r="W539"/>
  <c r="AT539"/>
  <c r="V539"/>
  <c r="R539"/>
  <c r="R537"/>
  <c r="R536"/>
  <c r="R534"/>
  <c r="Q539"/>
  <c r="P539"/>
  <c r="N539"/>
  <c r="N537"/>
  <c r="N536"/>
  <c r="N534"/>
  <c r="M539"/>
  <c r="L539"/>
  <c r="L537"/>
  <c r="L536"/>
  <c r="L534"/>
  <c r="AP538"/>
  <c r="AA538"/>
  <c r="S538"/>
  <c r="AP537"/>
  <c r="AD537"/>
  <c r="AA537"/>
  <c r="Z537"/>
  <c r="Z536"/>
  <c r="Z534"/>
  <c r="Z533"/>
  <c r="Y537"/>
  <c r="W537"/>
  <c r="P537"/>
  <c r="P536"/>
  <c r="M537"/>
  <c r="M536"/>
  <c r="M534"/>
  <c r="AP536"/>
  <c r="AD536"/>
  <c r="AD534"/>
  <c r="AA536"/>
  <c r="AP535"/>
  <c r="AA535"/>
  <c r="S535"/>
  <c r="AP534"/>
  <c r="AA534"/>
  <c r="AP533"/>
  <c r="AA533"/>
  <c r="AP532"/>
  <c r="AA532"/>
  <c r="S532"/>
  <c r="AP531"/>
  <c r="AM531"/>
  <c r="AA531"/>
  <c r="S531"/>
  <c r="AP530"/>
  <c r="AA530"/>
  <c r="S530"/>
  <c r="AP529"/>
  <c r="AA529"/>
  <c r="S529"/>
  <c r="AQ528"/>
  <c r="AP528"/>
  <c r="AM528"/>
  <c r="AD528"/>
  <c r="AC528"/>
  <c r="AC527"/>
  <c r="AC526"/>
  <c r="AC524"/>
  <c r="AC523"/>
  <c r="AA528"/>
  <c r="Z528"/>
  <c r="Y528"/>
  <c r="X528"/>
  <c r="W528"/>
  <c r="V528"/>
  <c r="V527"/>
  <c r="V526"/>
  <c r="V524"/>
  <c r="V523"/>
  <c r="R528"/>
  <c r="R527"/>
  <c r="R526"/>
  <c r="R524"/>
  <c r="R523"/>
  <c r="Q528"/>
  <c r="P528"/>
  <c r="O528"/>
  <c r="N528"/>
  <c r="M528"/>
  <c r="L528"/>
  <c r="L527"/>
  <c r="L526"/>
  <c r="L524"/>
  <c r="L523"/>
  <c r="AQ527"/>
  <c r="AP527"/>
  <c r="AD527"/>
  <c r="AA527"/>
  <c r="Z527"/>
  <c r="Y527"/>
  <c r="AM527"/>
  <c r="X527"/>
  <c r="W527"/>
  <c r="W526"/>
  <c r="W524"/>
  <c r="W523"/>
  <c r="Q527"/>
  <c r="P527"/>
  <c r="O527"/>
  <c r="O526"/>
  <c r="O524"/>
  <c r="O523"/>
  <c r="N527"/>
  <c r="M527"/>
  <c r="M526"/>
  <c r="M524"/>
  <c r="M523"/>
  <c r="AQ526"/>
  <c r="AP526"/>
  <c r="AD526"/>
  <c r="AD524"/>
  <c r="AD523"/>
  <c r="AA526"/>
  <c r="Z526"/>
  <c r="Z524"/>
  <c r="Z523"/>
  <c r="X526"/>
  <c r="Q526"/>
  <c r="P526"/>
  <c r="P524"/>
  <c r="P523"/>
  <c r="N526"/>
  <c r="AP525"/>
  <c r="AA525"/>
  <c r="S525"/>
  <c r="AQ524"/>
  <c r="AQ523"/>
  <c r="AP524"/>
  <c r="AA524"/>
  <c r="X524"/>
  <c r="X523"/>
  <c r="Q524"/>
  <c r="N524"/>
  <c r="N523"/>
  <c r="AP523"/>
  <c r="AA523"/>
  <c r="Q523"/>
  <c r="AP522"/>
  <c r="AA522"/>
  <c r="S522"/>
  <c r="AP521"/>
  <c r="AA521"/>
  <c r="S521"/>
  <c r="S520"/>
  <c r="S519"/>
  <c r="S518"/>
  <c r="S516"/>
  <c r="AQ520"/>
  <c r="AP520"/>
  <c r="AD520"/>
  <c r="AC520"/>
  <c r="AC519"/>
  <c r="AC518"/>
  <c r="AC516"/>
  <c r="AA520"/>
  <c r="Z520"/>
  <c r="Y520"/>
  <c r="Y519"/>
  <c r="Y518"/>
  <c r="Y516"/>
  <c r="X520"/>
  <c r="W520"/>
  <c r="V520"/>
  <c r="V519"/>
  <c r="V518"/>
  <c r="V516"/>
  <c r="R520"/>
  <c r="R519"/>
  <c r="R518"/>
  <c r="Q520"/>
  <c r="Q519"/>
  <c r="Q518"/>
  <c r="Q516"/>
  <c r="P520"/>
  <c r="O520"/>
  <c r="O519"/>
  <c r="O518"/>
  <c r="O516"/>
  <c r="N520"/>
  <c r="M520"/>
  <c r="L520"/>
  <c r="L519"/>
  <c r="L518"/>
  <c r="L516"/>
  <c r="AQ519"/>
  <c r="AP519"/>
  <c r="AD519"/>
  <c r="AD518"/>
  <c r="AD516"/>
  <c r="AA519"/>
  <c r="Z519"/>
  <c r="X519"/>
  <c r="X518"/>
  <c r="X516"/>
  <c r="W519"/>
  <c r="P519"/>
  <c r="N519"/>
  <c r="N518"/>
  <c r="N516"/>
  <c r="M519"/>
  <c r="AQ518"/>
  <c r="AQ516"/>
  <c r="AP518"/>
  <c r="AA518"/>
  <c r="Z518"/>
  <c r="W518"/>
  <c r="W516"/>
  <c r="P518"/>
  <c r="M518"/>
  <c r="M516"/>
  <c r="AP517"/>
  <c r="AA517"/>
  <c r="S517"/>
  <c r="AP516"/>
  <c r="AA516"/>
  <c r="Z516"/>
  <c r="R516"/>
  <c r="P516"/>
  <c r="AP515"/>
  <c r="AA515"/>
  <c r="S515"/>
  <c r="AV514"/>
  <c r="AU514"/>
  <c r="AT514"/>
  <c r="AS514"/>
  <c r="AR514"/>
  <c r="AP514"/>
  <c r="AM514"/>
  <c r="AL514"/>
  <c r="AK514"/>
  <c r="AH514"/>
  <c r="AG514"/>
  <c r="AF514"/>
  <c r="AE514"/>
  <c r="AA514"/>
  <c r="S514"/>
  <c r="O514"/>
  <c r="M514"/>
  <c r="AV513"/>
  <c r="AU513"/>
  <c r="AT513"/>
  <c r="AS513"/>
  <c r="AR513"/>
  <c r="AP513"/>
  <c r="AL513"/>
  <c r="AK513"/>
  <c r="AH513"/>
  <c r="AG513"/>
  <c r="AF513"/>
  <c r="AE513"/>
  <c r="AA513"/>
  <c r="S513"/>
  <c r="O513"/>
  <c r="M513"/>
  <c r="AV512"/>
  <c r="AU512"/>
  <c r="AT512"/>
  <c r="AS512"/>
  <c r="AR512"/>
  <c r="AP512"/>
  <c r="AM512"/>
  <c r="AL512"/>
  <c r="AK512"/>
  <c r="AH512"/>
  <c r="AG512"/>
  <c r="AF512"/>
  <c r="AA512"/>
  <c r="S512"/>
  <c r="O512"/>
  <c r="AE512"/>
  <c r="M512"/>
  <c r="AV511"/>
  <c r="AR511"/>
  <c r="AQ511"/>
  <c r="AP511"/>
  <c r="AH511"/>
  <c r="AF511"/>
  <c r="AD511"/>
  <c r="AC511"/>
  <c r="AA511"/>
  <c r="Z511"/>
  <c r="Z510"/>
  <c r="Z509"/>
  <c r="Z508"/>
  <c r="Y511"/>
  <c r="AM511"/>
  <c r="X511"/>
  <c r="W511"/>
  <c r="V511"/>
  <c r="R511"/>
  <c r="Q511"/>
  <c r="AG511"/>
  <c r="P511"/>
  <c r="P510"/>
  <c r="O511"/>
  <c r="O510"/>
  <c r="N511"/>
  <c r="M511"/>
  <c r="M510"/>
  <c r="M509"/>
  <c r="M508"/>
  <c r="L511"/>
  <c r="AV510"/>
  <c r="AR510"/>
  <c r="AQ510"/>
  <c r="AP510"/>
  <c r="AD510"/>
  <c r="AD509"/>
  <c r="AD508"/>
  <c r="AD501"/>
  <c r="AD499"/>
  <c r="AC510"/>
  <c r="AA510"/>
  <c r="X510"/>
  <c r="V510"/>
  <c r="R510"/>
  <c r="Q510"/>
  <c r="AH510"/>
  <c r="N510"/>
  <c r="N509"/>
  <c r="N508"/>
  <c r="L510"/>
  <c r="AV509"/>
  <c r="AQ509"/>
  <c r="AQ508"/>
  <c r="AP509"/>
  <c r="AC509"/>
  <c r="AA509"/>
  <c r="V509"/>
  <c r="V508"/>
  <c r="AR508"/>
  <c r="R509"/>
  <c r="Q509"/>
  <c r="L509"/>
  <c r="L508"/>
  <c r="AP508"/>
  <c r="AC508"/>
  <c r="AA508"/>
  <c r="R508"/>
  <c r="AP507"/>
  <c r="AA507"/>
  <c r="S507"/>
  <c r="AP506"/>
  <c r="AM506"/>
  <c r="AA506"/>
  <c r="S506"/>
  <c r="O506"/>
  <c r="AV505"/>
  <c r="AU505"/>
  <c r="AT505"/>
  <c r="AS505"/>
  <c r="AR505"/>
  <c r="AP505"/>
  <c r="AM505"/>
  <c r="AL505"/>
  <c r="AK505"/>
  <c r="AH505"/>
  <c r="AG505"/>
  <c r="AF505"/>
  <c r="AE505"/>
  <c r="AA505"/>
  <c r="S505"/>
  <c r="S504"/>
  <c r="S503"/>
  <c r="O505"/>
  <c r="M505"/>
  <c r="AU504"/>
  <c r="AS504"/>
  <c r="AQ504"/>
  <c r="AV504"/>
  <c r="AP504"/>
  <c r="AK504"/>
  <c r="AG504"/>
  <c r="AE504"/>
  <c r="AD504"/>
  <c r="AC504"/>
  <c r="AH504"/>
  <c r="AA504"/>
  <c r="Z504"/>
  <c r="Z503"/>
  <c r="Z501"/>
  <c r="Z499"/>
  <c r="Y504"/>
  <c r="AM504"/>
  <c r="X504"/>
  <c r="W504"/>
  <c r="V504"/>
  <c r="AR504"/>
  <c r="R504"/>
  <c r="AT504"/>
  <c r="Q504"/>
  <c r="Q503"/>
  <c r="P504"/>
  <c r="P503"/>
  <c r="O504"/>
  <c r="N504"/>
  <c r="N503"/>
  <c r="N501"/>
  <c r="N499"/>
  <c r="M504"/>
  <c r="L504"/>
  <c r="AQ503"/>
  <c r="AP503"/>
  <c r="AE503"/>
  <c r="AD503"/>
  <c r="AC503"/>
  <c r="AC501"/>
  <c r="AA503"/>
  <c r="Y503"/>
  <c r="W503"/>
  <c r="AK503"/>
  <c r="V503"/>
  <c r="R503"/>
  <c r="R501"/>
  <c r="R499"/>
  <c r="O503"/>
  <c r="M503"/>
  <c r="L503"/>
  <c r="AP502"/>
  <c r="AA502"/>
  <c r="S502"/>
  <c r="AP501"/>
  <c r="AA501"/>
  <c r="M501"/>
  <c r="M499"/>
  <c r="M491"/>
  <c r="AP500"/>
  <c r="AA500"/>
  <c r="S500"/>
  <c r="AP499"/>
  <c r="AA499"/>
  <c r="AP498"/>
  <c r="AA498"/>
  <c r="S498"/>
  <c r="AP497"/>
  <c r="AA497"/>
  <c r="S497"/>
  <c r="S496"/>
  <c r="S495"/>
  <c r="S494"/>
  <c r="S492"/>
  <c r="AQ496"/>
  <c r="AP496"/>
  <c r="AD496"/>
  <c r="AC496"/>
  <c r="AA496"/>
  <c r="Z496"/>
  <c r="Y496"/>
  <c r="X496"/>
  <c r="X495"/>
  <c r="X494"/>
  <c r="X492"/>
  <c r="W496"/>
  <c r="V496"/>
  <c r="V495"/>
  <c r="V494"/>
  <c r="V492"/>
  <c r="R496"/>
  <c r="Q496"/>
  <c r="Q495"/>
  <c r="Q494"/>
  <c r="Q492"/>
  <c r="P496"/>
  <c r="O496"/>
  <c r="N496"/>
  <c r="N495"/>
  <c r="N494"/>
  <c r="N492"/>
  <c r="M496"/>
  <c r="L496"/>
  <c r="L495"/>
  <c r="L494"/>
  <c r="L492"/>
  <c r="AQ495"/>
  <c r="AP495"/>
  <c r="AD495"/>
  <c r="AD494"/>
  <c r="AD492"/>
  <c r="AD491"/>
  <c r="AC495"/>
  <c r="AA495"/>
  <c r="Z495"/>
  <c r="Z494"/>
  <c r="Z492"/>
  <c r="Y495"/>
  <c r="W495"/>
  <c r="R495"/>
  <c r="P495"/>
  <c r="P494"/>
  <c r="P492"/>
  <c r="O495"/>
  <c r="M495"/>
  <c r="AQ494"/>
  <c r="AP494"/>
  <c r="AC494"/>
  <c r="AC492"/>
  <c r="AA494"/>
  <c r="Y494"/>
  <c r="W494"/>
  <c r="R494"/>
  <c r="R492"/>
  <c r="R491"/>
  <c r="O494"/>
  <c r="M494"/>
  <c r="AP493"/>
  <c r="AA493"/>
  <c r="S493"/>
  <c r="AQ492"/>
  <c r="AP492"/>
  <c r="AA492"/>
  <c r="Y492"/>
  <c r="W492"/>
  <c r="O492"/>
  <c r="M492"/>
  <c r="AP491"/>
  <c r="AA491"/>
  <c r="AP490"/>
  <c r="AA490"/>
  <c r="S490"/>
  <c r="AV489"/>
  <c r="AU489"/>
  <c r="AT489"/>
  <c r="AS489"/>
  <c r="AR489"/>
  <c r="AP489"/>
  <c r="AM489"/>
  <c r="AL489"/>
  <c r="AK489"/>
  <c r="AE489"/>
  <c r="AA489"/>
  <c r="S489"/>
  <c r="O489"/>
  <c r="M489"/>
  <c r="AP488"/>
  <c r="AA488"/>
  <c r="S488"/>
  <c r="O488"/>
  <c r="O484"/>
  <c r="AV487"/>
  <c r="AU487"/>
  <c r="AT487"/>
  <c r="AS487"/>
  <c r="AR487"/>
  <c r="AP487"/>
  <c r="AM487"/>
  <c r="AL487"/>
  <c r="AK487"/>
  <c r="AE487"/>
  <c r="AA487"/>
  <c r="S487"/>
  <c r="O487"/>
  <c r="M487"/>
  <c r="AV486"/>
  <c r="AU486"/>
  <c r="AT486"/>
  <c r="AS486"/>
  <c r="AR486"/>
  <c r="AP486"/>
  <c r="AM486"/>
  <c r="AL486"/>
  <c r="AK486"/>
  <c r="AE486"/>
  <c r="AA486"/>
  <c r="AA265"/>
  <c r="S486"/>
  <c r="S265"/>
  <c r="O486"/>
  <c r="M486"/>
  <c r="AV485"/>
  <c r="AU485"/>
  <c r="AT485"/>
  <c r="AS485"/>
  <c r="AR485"/>
  <c r="AP485"/>
  <c r="AM485"/>
  <c r="AL485"/>
  <c r="AK485"/>
  <c r="AH485"/>
  <c r="AG485"/>
  <c r="AF485"/>
  <c r="AA485"/>
  <c r="AA263"/>
  <c r="O485"/>
  <c r="M485"/>
  <c r="AE485"/>
  <c r="AQ484"/>
  <c r="AP484"/>
  <c r="AG484"/>
  <c r="AD484"/>
  <c r="AC484"/>
  <c r="AH484"/>
  <c r="AA484"/>
  <c r="Z484"/>
  <c r="Y484"/>
  <c r="X484"/>
  <c r="AM484"/>
  <c r="W484"/>
  <c r="AK484"/>
  <c r="V484"/>
  <c r="R484"/>
  <c r="AT484"/>
  <c r="Q484"/>
  <c r="P484"/>
  <c r="AF484"/>
  <c r="N484"/>
  <c r="L484"/>
  <c r="AP483"/>
  <c r="AA483"/>
  <c r="S483"/>
  <c r="AV482"/>
  <c r="AU482"/>
  <c r="AT482"/>
  <c r="AS482"/>
  <c r="AR482"/>
  <c r="AP482"/>
  <c r="AM482"/>
  <c r="AL482"/>
  <c r="AK482"/>
  <c r="AH482"/>
  <c r="AG482"/>
  <c r="AE482"/>
  <c r="AA482"/>
  <c r="AA260"/>
  <c r="AA259"/>
  <c r="S482"/>
  <c r="S481"/>
  <c r="O482"/>
  <c r="AF482"/>
  <c r="M482"/>
  <c r="AU481"/>
  <c r="AS481"/>
  <c r="AQ481"/>
  <c r="AQ479"/>
  <c r="AP481"/>
  <c r="AK481"/>
  <c r="AG481"/>
  <c r="AE481"/>
  <c r="AD481"/>
  <c r="AC481"/>
  <c r="AH481"/>
  <c r="AA481"/>
  <c r="Z481"/>
  <c r="Z479"/>
  <c r="Z478"/>
  <c r="Z476"/>
  <c r="Z475"/>
  <c r="Y481"/>
  <c r="AM481"/>
  <c r="X481"/>
  <c r="W481"/>
  <c r="AT481"/>
  <c r="V481"/>
  <c r="V479"/>
  <c r="R481"/>
  <c r="Q481"/>
  <c r="P481"/>
  <c r="P479"/>
  <c r="O481"/>
  <c r="N481"/>
  <c r="N479"/>
  <c r="N478"/>
  <c r="M481"/>
  <c r="L481"/>
  <c r="L479"/>
  <c r="L478"/>
  <c r="L476"/>
  <c r="AP480"/>
  <c r="AA480"/>
  <c r="S480"/>
  <c r="AT479"/>
  <c r="AP479"/>
  <c r="AH479"/>
  <c r="AD479"/>
  <c r="AC479"/>
  <c r="AC478"/>
  <c r="AA479"/>
  <c r="Y479"/>
  <c r="W479"/>
  <c r="AK479"/>
  <c r="R479"/>
  <c r="R478"/>
  <c r="R476"/>
  <c r="R475"/>
  <c r="Q479"/>
  <c r="Q478"/>
  <c r="O479"/>
  <c r="AP478"/>
  <c r="AD478"/>
  <c r="AD476"/>
  <c r="AD475"/>
  <c r="AA478"/>
  <c r="W478"/>
  <c r="AP477"/>
  <c r="AA477"/>
  <c r="S477"/>
  <c r="AP476"/>
  <c r="AA476"/>
  <c r="N476"/>
  <c r="N475"/>
  <c r="AP475"/>
  <c r="AA475"/>
  <c r="L475"/>
  <c r="AP474"/>
  <c r="AA474"/>
  <c r="S474"/>
  <c r="AP473"/>
  <c r="AA473"/>
  <c r="S473"/>
  <c r="S472"/>
  <c r="S471"/>
  <c r="S470"/>
  <c r="S468"/>
  <c r="AQ472"/>
  <c r="AP472"/>
  <c r="AD472"/>
  <c r="AC472"/>
  <c r="AC471"/>
  <c r="AC470"/>
  <c r="AC468"/>
  <c r="AA472"/>
  <c r="Z472"/>
  <c r="Y472"/>
  <c r="Y471"/>
  <c r="Y470"/>
  <c r="Y468"/>
  <c r="X472"/>
  <c r="W472"/>
  <c r="V472"/>
  <c r="V471"/>
  <c r="V470"/>
  <c r="V468"/>
  <c r="R472"/>
  <c r="R471"/>
  <c r="R470"/>
  <c r="R468"/>
  <c r="Q472"/>
  <c r="P472"/>
  <c r="O472"/>
  <c r="O471"/>
  <c r="O470"/>
  <c r="O468"/>
  <c r="N472"/>
  <c r="M472"/>
  <c r="L472"/>
  <c r="L471"/>
  <c r="L470"/>
  <c r="L468"/>
  <c r="AQ471"/>
  <c r="AP471"/>
  <c r="AD471"/>
  <c r="AA471"/>
  <c r="Z471"/>
  <c r="X471"/>
  <c r="X470"/>
  <c r="X468"/>
  <c r="W471"/>
  <c r="Q471"/>
  <c r="Q470"/>
  <c r="Q468"/>
  <c r="P471"/>
  <c r="N471"/>
  <c r="N470"/>
  <c r="N468"/>
  <c r="M471"/>
  <c r="AQ470"/>
  <c r="AP470"/>
  <c r="AD470"/>
  <c r="AA470"/>
  <c r="Z470"/>
  <c r="Z468"/>
  <c r="W470"/>
  <c r="P470"/>
  <c r="P468"/>
  <c r="M470"/>
  <c r="AP469"/>
  <c r="AA469"/>
  <c r="S469"/>
  <c r="AQ468"/>
  <c r="AP468"/>
  <c r="AD468"/>
  <c r="AA468"/>
  <c r="W468"/>
  <c r="M468"/>
  <c r="AP467"/>
  <c r="AA467"/>
  <c r="S467"/>
  <c r="AV466"/>
  <c r="AU466"/>
  <c r="AT466"/>
  <c r="AS466"/>
  <c r="AR466"/>
  <c r="AP466"/>
  <c r="AM466"/>
  <c r="AL466"/>
  <c r="AK466"/>
  <c r="AE466"/>
  <c r="AA466"/>
  <c r="S466"/>
  <c r="S465"/>
  <c r="O466"/>
  <c r="M466"/>
  <c r="M465"/>
  <c r="AT465"/>
  <c r="AS465"/>
  <c r="AQ465"/>
  <c r="AP465"/>
  <c r="AD465"/>
  <c r="AC465"/>
  <c r="AA465"/>
  <c r="Z465"/>
  <c r="Y465"/>
  <c r="AM465"/>
  <c r="X465"/>
  <c r="AL465"/>
  <c r="W465"/>
  <c r="AK465"/>
  <c r="V465"/>
  <c r="AR465"/>
  <c r="R465"/>
  <c r="Q465"/>
  <c r="P465"/>
  <c r="O465"/>
  <c r="AE465"/>
  <c r="N465"/>
  <c r="L465"/>
  <c r="AP464"/>
  <c r="AA464"/>
  <c r="S464"/>
  <c r="AV463"/>
  <c r="AU463"/>
  <c r="AT463"/>
  <c r="AS463"/>
  <c r="AR463"/>
  <c r="AP463"/>
  <c r="AM463"/>
  <c r="AL463"/>
  <c r="AK463"/>
  <c r="AH463"/>
  <c r="AG463"/>
  <c r="AA463"/>
  <c r="S463"/>
  <c r="O463"/>
  <c r="AF463"/>
  <c r="AU462"/>
  <c r="AP462"/>
  <c r="AL462"/>
  <c r="AA462"/>
  <c r="S462"/>
  <c r="O462"/>
  <c r="AU461"/>
  <c r="AP461"/>
  <c r="AM461"/>
  <c r="AL461"/>
  <c r="AE461"/>
  <c r="AA461"/>
  <c r="AA326"/>
  <c r="O461"/>
  <c r="M461"/>
  <c r="AP460"/>
  <c r="AA460"/>
  <c r="AA325"/>
  <c r="S460"/>
  <c r="O460"/>
  <c r="AV459"/>
  <c r="AU459"/>
  <c r="AT459"/>
  <c r="AS459"/>
  <c r="AR459"/>
  <c r="AP459"/>
  <c r="AM459"/>
  <c r="AL459"/>
  <c r="AK459"/>
  <c r="AH459"/>
  <c r="AG459"/>
  <c r="AA459"/>
  <c r="O459"/>
  <c r="M459"/>
  <c r="AV458"/>
  <c r="AR458"/>
  <c r="AQ458"/>
  <c r="AU458"/>
  <c r="AP458"/>
  <c r="AD458"/>
  <c r="AD457"/>
  <c r="AD456"/>
  <c r="AD454"/>
  <c r="AC458"/>
  <c r="AA458"/>
  <c r="Z458"/>
  <c r="Y458"/>
  <c r="AM458"/>
  <c r="X458"/>
  <c r="X457"/>
  <c r="X456"/>
  <c r="W458"/>
  <c r="AL458"/>
  <c r="V458"/>
  <c r="R458"/>
  <c r="Q458"/>
  <c r="AH458"/>
  <c r="P458"/>
  <c r="N458"/>
  <c r="N457"/>
  <c r="N456"/>
  <c r="N454"/>
  <c r="M458"/>
  <c r="L458"/>
  <c r="AP457"/>
  <c r="AC457"/>
  <c r="AA457"/>
  <c r="Z457"/>
  <c r="Y457"/>
  <c r="AM457"/>
  <c r="V457"/>
  <c r="V456"/>
  <c r="R457"/>
  <c r="Q457"/>
  <c r="P457"/>
  <c r="L457"/>
  <c r="L456"/>
  <c r="L454"/>
  <c r="AP456"/>
  <c r="AC456"/>
  <c r="AA456"/>
  <c r="Z456"/>
  <c r="Y456"/>
  <c r="R456"/>
  <c r="P456"/>
  <c r="AP455"/>
  <c r="AA455"/>
  <c r="S455"/>
  <c r="AP454"/>
  <c r="AC454"/>
  <c r="AA454"/>
  <c r="Z454"/>
  <c r="R454"/>
  <c r="P454"/>
  <c r="AP453"/>
  <c r="AA453"/>
  <c r="S453"/>
  <c r="AU452"/>
  <c r="AS452"/>
  <c r="AP452"/>
  <c r="AM452"/>
  <c r="AL452"/>
  <c r="AA452"/>
  <c r="AA303"/>
  <c r="AA302"/>
  <c r="S452"/>
  <c r="S451"/>
  <c r="O452"/>
  <c r="AU451"/>
  <c r="AQ451"/>
  <c r="AP451"/>
  <c r="AL451"/>
  <c r="AD451"/>
  <c r="AD443"/>
  <c r="AC451"/>
  <c r="AA451"/>
  <c r="Z451"/>
  <c r="Y451"/>
  <c r="AM451"/>
  <c r="X451"/>
  <c r="W451"/>
  <c r="AS451"/>
  <c r="V451"/>
  <c r="V443"/>
  <c r="AR443"/>
  <c r="R451"/>
  <c r="Q451"/>
  <c r="P451"/>
  <c r="O451"/>
  <c r="N451"/>
  <c r="M451"/>
  <c r="L451"/>
  <c r="L443"/>
  <c r="AP450"/>
  <c r="AA450"/>
  <c r="S450"/>
  <c r="AU449"/>
  <c r="AS449"/>
  <c r="AP449"/>
  <c r="AM449"/>
  <c r="AL449"/>
  <c r="AE449"/>
  <c r="AA449"/>
  <c r="AA300"/>
  <c r="AA299"/>
  <c r="S449"/>
  <c r="S448"/>
  <c r="O449"/>
  <c r="M449"/>
  <c r="AQ448"/>
  <c r="AU448"/>
  <c r="AP448"/>
  <c r="AL448"/>
  <c r="AD448"/>
  <c r="AC448"/>
  <c r="AA448"/>
  <c r="Z448"/>
  <c r="Y448"/>
  <c r="AM448"/>
  <c r="X448"/>
  <c r="W448"/>
  <c r="AS448"/>
  <c r="V448"/>
  <c r="R448"/>
  <c r="Q448"/>
  <c r="P448"/>
  <c r="O448"/>
  <c r="N448"/>
  <c r="M448"/>
  <c r="M443"/>
  <c r="L448"/>
  <c r="AP447"/>
  <c r="AA447"/>
  <c r="S447"/>
  <c r="AV446"/>
  <c r="AT446"/>
  <c r="AR446"/>
  <c r="AP446"/>
  <c r="AM446"/>
  <c r="AK446"/>
  <c r="AA446"/>
  <c r="S446"/>
  <c r="S445"/>
  <c r="AT445"/>
  <c r="AQ445"/>
  <c r="AP445"/>
  <c r="AD445"/>
  <c r="AC445"/>
  <c r="AC443"/>
  <c r="AA445"/>
  <c r="Z445"/>
  <c r="Y445"/>
  <c r="X445"/>
  <c r="W445"/>
  <c r="AK445"/>
  <c r="V445"/>
  <c r="R445"/>
  <c r="R443"/>
  <c r="Q445"/>
  <c r="P445"/>
  <c r="O445"/>
  <c r="O443"/>
  <c r="N445"/>
  <c r="M445"/>
  <c r="L445"/>
  <c r="AP444"/>
  <c r="AA444"/>
  <c r="S444"/>
  <c r="AP443"/>
  <c r="AK443"/>
  <c r="AA443"/>
  <c r="Z443"/>
  <c r="X443"/>
  <c r="AL443"/>
  <c r="W443"/>
  <c r="P443"/>
  <c r="N443"/>
  <c r="AP442"/>
  <c r="AA442"/>
  <c r="S442"/>
  <c r="AV441"/>
  <c r="AU441"/>
  <c r="AT441"/>
  <c r="AS441"/>
  <c r="AR441"/>
  <c r="AP441"/>
  <c r="AM441"/>
  <c r="AL441"/>
  <c r="AK441"/>
  <c r="AH441"/>
  <c r="AG441"/>
  <c r="AF441"/>
  <c r="AA441"/>
  <c r="O441"/>
  <c r="AE441"/>
  <c r="M441"/>
  <c r="AP440"/>
  <c r="AM440"/>
  <c r="AA440"/>
  <c r="S440"/>
  <c r="AP439"/>
  <c r="AA439"/>
  <c r="S439"/>
  <c r="AP438"/>
  <c r="AA438"/>
  <c r="S438"/>
  <c r="O438"/>
  <c r="AV437"/>
  <c r="AU437"/>
  <c r="AT437"/>
  <c r="AS437"/>
  <c r="AR437"/>
  <c r="AP437"/>
  <c r="AM437"/>
  <c r="AL437"/>
  <c r="AK437"/>
  <c r="AH437"/>
  <c r="AG437"/>
  <c r="AA437"/>
  <c r="S437"/>
  <c r="O437"/>
  <c r="AF437"/>
  <c r="M437"/>
  <c r="AU436"/>
  <c r="AS436"/>
  <c r="AP436"/>
  <c r="AM436"/>
  <c r="AL436"/>
  <c r="AH436"/>
  <c r="AG436"/>
  <c r="AF436"/>
  <c r="AA436"/>
  <c r="S436"/>
  <c r="O436"/>
  <c r="AE436"/>
  <c r="M436"/>
  <c r="AP435"/>
  <c r="AM435"/>
  <c r="AA435"/>
  <c r="S435"/>
  <c r="O435"/>
  <c r="AP434"/>
  <c r="AM434"/>
  <c r="AA434"/>
  <c r="S434"/>
  <c r="O434"/>
  <c r="AV433"/>
  <c r="AU433"/>
  <c r="AT433"/>
  <c r="AS433"/>
  <c r="AR433"/>
  <c r="AP433"/>
  <c r="AM433"/>
  <c r="AL433"/>
  <c r="AK433"/>
  <c r="AA433"/>
  <c r="S433"/>
  <c r="O433"/>
  <c r="M433"/>
  <c r="AV432"/>
  <c r="AU432"/>
  <c r="AT432"/>
  <c r="AS432"/>
  <c r="AR432"/>
  <c r="AP432"/>
  <c r="AM432"/>
  <c r="AL432"/>
  <c r="AK432"/>
  <c r="AH432"/>
  <c r="AG432"/>
  <c r="AF432"/>
  <c r="AA432"/>
  <c r="S432"/>
  <c r="O432"/>
  <c r="AE432"/>
  <c r="M432"/>
  <c r="AV431"/>
  <c r="AU431"/>
  <c r="AT431"/>
  <c r="AS431"/>
  <c r="AR431"/>
  <c r="AP431"/>
  <c r="AM431"/>
  <c r="AL431"/>
  <c r="AK431"/>
  <c r="AH431"/>
  <c r="AG431"/>
  <c r="AA431"/>
  <c r="S431"/>
  <c r="O431"/>
  <c r="AF431"/>
  <c r="M431"/>
  <c r="AE431"/>
  <c r="AV430"/>
  <c r="AU430"/>
  <c r="AT430"/>
  <c r="AS430"/>
  <c r="AR430"/>
  <c r="AP430"/>
  <c r="AM430"/>
  <c r="AL430"/>
  <c r="AK430"/>
  <c r="AH430"/>
  <c r="AG430"/>
  <c r="AF430"/>
  <c r="AA430"/>
  <c r="O430"/>
  <c r="AE430"/>
  <c r="M430"/>
  <c r="AP429"/>
  <c r="AL429"/>
  <c r="AA429"/>
  <c r="S429"/>
  <c r="O429"/>
  <c r="AF429"/>
  <c r="M429"/>
  <c r="AE429"/>
  <c r="AV428"/>
  <c r="AU428"/>
  <c r="AT428"/>
  <c r="AS428"/>
  <c r="AR428"/>
  <c r="AP428"/>
  <c r="AM428"/>
  <c r="AL428"/>
  <c r="AK428"/>
  <c r="AH428"/>
  <c r="AG428"/>
  <c r="AA428"/>
  <c r="S428"/>
  <c r="O428"/>
  <c r="AF428"/>
  <c r="M428"/>
  <c r="AV427"/>
  <c r="AU427"/>
  <c r="AT427"/>
  <c r="AS427"/>
  <c r="AR427"/>
  <c r="AP427"/>
  <c r="AM427"/>
  <c r="AL427"/>
  <c r="AK427"/>
  <c r="AA427"/>
  <c r="S427"/>
  <c r="S253"/>
  <c r="O427"/>
  <c r="M427"/>
  <c r="AV426"/>
  <c r="AU426"/>
  <c r="AT426"/>
  <c r="AS426"/>
  <c r="AR426"/>
  <c r="AP426"/>
  <c r="AM426"/>
  <c r="AL426"/>
  <c r="AK426"/>
  <c r="AH426"/>
  <c r="AG426"/>
  <c r="AF426"/>
  <c r="AA426"/>
  <c r="S426"/>
  <c r="O426"/>
  <c r="AE426"/>
  <c r="M426"/>
  <c r="AV425"/>
  <c r="AU425"/>
  <c r="AT425"/>
  <c r="AS425"/>
  <c r="AR425"/>
  <c r="AP425"/>
  <c r="AM425"/>
  <c r="AL425"/>
  <c r="AK425"/>
  <c r="AH425"/>
  <c r="AG425"/>
  <c r="AA425"/>
  <c r="S425"/>
  <c r="O425"/>
  <c r="AE425"/>
  <c r="M425"/>
  <c r="AV424"/>
  <c r="AU424"/>
  <c r="AT424"/>
  <c r="AS424"/>
  <c r="AR424"/>
  <c r="AP424"/>
  <c r="AM424"/>
  <c r="AL424"/>
  <c r="AK424"/>
  <c r="AH424"/>
  <c r="AG424"/>
  <c r="AE424"/>
  <c r="AA424"/>
  <c r="AA250"/>
  <c r="O424"/>
  <c r="AF424"/>
  <c r="M424"/>
  <c r="AV423"/>
  <c r="AU423"/>
  <c r="AT423"/>
  <c r="AS423"/>
  <c r="AR423"/>
  <c r="AP423"/>
  <c r="AM423"/>
  <c r="AL423"/>
  <c r="AK423"/>
  <c r="AH423"/>
  <c r="AG423"/>
  <c r="AE423"/>
  <c r="AA423"/>
  <c r="O423"/>
  <c r="AF423"/>
  <c r="M423"/>
  <c r="AV422"/>
  <c r="AT422"/>
  <c r="AQ422"/>
  <c r="AU422"/>
  <c r="AP422"/>
  <c r="AL422"/>
  <c r="AD422"/>
  <c r="AC422"/>
  <c r="AA422"/>
  <c r="Z422"/>
  <c r="Y422"/>
  <c r="AM422"/>
  <c r="X422"/>
  <c r="W422"/>
  <c r="AK422"/>
  <c r="V422"/>
  <c r="AR422"/>
  <c r="R422"/>
  <c r="Q422"/>
  <c r="P422"/>
  <c r="O422"/>
  <c r="N422"/>
  <c r="L422"/>
  <c r="AP421"/>
  <c r="AA421"/>
  <c r="S421"/>
  <c r="AV420"/>
  <c r="AU420"/>
  <c r="AT420"/>
  <c r="AS420"/>
  <c r="AR420"/>
  <c r="AP420"/>
  <c r="AM420"/>
  <c r="AL420"/>
  <c r="AK420"/>
  <c r="AH420"/>
  <c r="AG420"/>
  <c r="AA420"/>
  <c r="S420"/>
  <c r="O420"/>
  <c r="M420"/>
  <c r="AP419"/>
  <c r="AA419"/>
  <c r="S419"/>
  <c r="O419"/>
  <c r="AV418"/>
  <c r="AU418"/>
  <c r="AT418"/>
  <c r="AS418"/>
  <c r="AR418"/>
  <c r="AP418"/>
  <c r="AM418"/>
  <c r="AL418"/>
  <c r="AK418"/>
  <c r="AH418"/>
  <c r="AG418"/>
  <c r="AF418"/>
  <c r="AE418"/>
  <c r="AA418"/>
  <c r="S418"/>
  <c r="O418"/>
  <c r="M418"/>
  <c r="AP417"/>
  <c r="AA417"/>
  <c r="S417"/>
  <c r="O417"/>
  <c r="AV416"/>
  <c r="AU416"/>
  <c r="AT416"/>
  <c r="AS416"/>
  <c r="AR416"/>
  <c r="AP416"/>
  <c r="AM416"/>
  <c r="AL416"/>
  <c r="AK416"/>
  <c r="AA416"/>
  <c r="AA238"/>
  <c r="S416"/>
  <c r="O416"/>
  <c r="AE416"/>
  <c r="M416"/>
  <c r="AV415"/>
  <c r="AU415"/>
  <c r="AT415"/>
  <c r="AS415"/>
  <c r="AR415"/>
  <c r="AP415"/>
  <c r="AM415"/>
  <c r="AL415"/>
  <c r="AK415"/>
  <c r="AH415"/>
  <c r="AG415"/>
  <c r="AF415"/>
  <c r="AA415"/>
  <c r="O415"/>
  <c r="AE415"/>
  <c r="M415"/>
  <c r="AQ414"/>
  <c r="AP414"/>
  <c r="AK414"/>
  <c r="AG414"/>
  <c r="AD414"/>
  <c r="AD412"/>
  <c r="AD411"/>
  <c r="AD409"/>
  <c r="AC414"/>
  <c r="AA414"/>
  <c r="Z414"/>
  <c r="Y414"/>
  <c r="AM414"/>
  <c r="X414"/>
  <c r="AL414"/>
  <c r="W414"/>
  <c r="V414"/>
  <c r="R414"/>
  <c r="Q414"/>
  <c r="P414"/>
  <c r="O414"/>
  <c r="AF414"/>
  <c r="N414"/>
  <c r="N412"/>
  <c r="N411"/>
  <c r="N409"/>
  <c r="M414"/>
  <c r="L414"/>
  <c r="AP413"/>
  <c r="AA413"/>
  <c r="S413"/>
  <c r="AT412"/>
  <c r="AQ412"/>
  <c r="AP412"/>
  <c r="AK412"/>
  <c r="AC412"/>
  <c r="AA412"/>
  <c r="Z412"/>
  <c r="Z411"/>
  <c r="Z409"/>
  <c r="Z357"/>
  <c r="Y412"/>
  <c r="W412"/>
  <c r="AS412"/>
  <c r="V412"/>
  <c r="R412"/>
  <c r="P412"/>
  <c r="P411"/>
  <c r="O412"/>
  <c r="O411"/>
  <c r="L412"/>
  <c r="L411"/>
  <c r="L409"/>
  <c r="AP411"/>
  <c r="AC411"/>
  <c r="AA411"/>
  <c r="W411"/>
  <c r="AK411"/>
  <c r="R411"/>
  <c r="R409"/>
  <c r="AP410"/>
  <c r="AA410"/>
  <c r="S410"/>
  <c r="AP409"/>
  <c r="AA409"/>
  <c r="AU408"/>
  <c r="AS408"/>
  <c r="AP408"/>
  <c r="AM408"/>
  <c r="AL408"/>
  <c r="AA408"/>
  <c r="S408"/>
  <c r="O408"/>
  <c r="AU407"/>
  <c r="AS407"/>
  <c r="AP407"/>
  <c r="AM407"/>
  <c r="AL407"/>
  <c r="AA407"/>
  <c r="S407"/>
  <c r="O407"/>
  <c r="AV406"/>
  <c r="AU406"/>
  <c r="AT406"/>
  <c r="AS406"/>
  <c r="AR406"/>
  <c r="AP406"/>
  <c r="AM406"/>
  <c r="AL406"/>
  <c r="AK406"/>
  <c r="AH406"/>
  <c r="AG406"/>
  <c r="AE406"/>
  <c r="AA406"/>
  <c r="O406"/>
  <c r="AF406"/>
  <c r="M406"/>
  <c r="AV405"/>
  <c r="AQ405"/>
  <c r="AU405"/>
  <c r="AP405"/>
  <c r="AL405"/>
  <c r="AF405"/>
  <c r="AE405"/>
  <c r="AD405"/>
  <c r="AC405"/>
  <c r="AA405"/>
  <c r="Z405"/>
  <c r="Y405"/>
  <c r="AM405"/>
  <c r="X405"/>
  <c r="W405"/>
  <c r="AT405"/>
  <c r="V405"/>
  <c r="AR405"/>
  <c r="S405"/>
  <c r="R405"/>
  <c r="Q405"/>
  <c r="P405"/>
  <c r="O405"/>
  <c r="N405"/>
  <c r="M405"/>
  <c r="L405"/>
  <c r="AP404"/>
  <c r="AA404"/>
  <c r="S404"/>
  <c r="AP403"/>
  <c r="AA403"/>
  <c r="S403"/>
  <c r="S245"/>
  <c r="S244"/>
  <c r="AQ402"/>
  <c r="AP402"/>
  <c r="AD402"/>
  <c r="AC402"/>
  <c r="AA402"/>
  <c r="Z402"/>
  <c r="Y402"/>
  <c r="X402"/>
  <c r="W402"/>
  <c r="V402"/>
  <c r="R402"/>
  <c r="Q402"/>
  <c r="Q378"/>
  <c r="AG378"/>
  <c r="P402"/>
  <c r="O402"/>
  <c r="N402"/>
  <c r="M402"/>
  <c r="L402"/>
  <c r="AP401"/>
  <c r="AA401"/>
  <c r="S401"/>
  <c r="AV400"/>
  <c r="AU400"/>
  <c r="AT400"/>
  <c r="AS400"/>
  <c r="AR400"/>
  <c r="AP400"/>
  <c r="AM400"/>
  <c r="AL400"/>
  <c r="AK400"/>
  <c r="AH400"/>
  <c r="AG400"/>
  <c r="AE400"/>
  <c r="AA400"/>
  <c r="O400"/>
  <c r="M400"/>
  <c r="AV399"/>
  <c r="AU399"/>
  <c r="AT399"/>
  <c r="AS399"/>
  <c r="AR399"/>
  <c r="AP399"/>
  <c r="AM399"/>
  <c r="AL399"/>
  <c r="AK399"/>
  <c r="AH399"/>
  <c r="AG399"/>
  <c r="AE399"/>
  <c r="AA399"/>
  <c r="O399"/>
  <c r="AF399"/>
  <c r="M399"/>
  <c r="AV398"/>
  <c r="AU398"/>
  <c r="AT398"/>
  <c r="AS398"/>
  <c r="AR398"/>
  <c r="AP398"/>
  <c r="AM398"/>
  <c r="AL398"/>
  <c r="AK398"/>
  <c r="AH398"/>
  <c r="AG398"/>
  <c r="AE398"/>
  <c r="AA398"/>
  <c r="O398"/>
  <c r="AF398"/>
  <c r="M398"/>
  <c r="AV397"/>
  <c r="AU397"/>
  <c r="AT397"/>
  <c r="AS397"/>
  <c r="AR397"/>
  <c r="AP397"/>
  <c r="AM397"/>
  <c r="AL397"/>
  <c r="AK397"/>
  <c r="AH397"/>
  <c r="AG397"/>
  <c r="AA397"/>
  <c r="AA239"/>
  <c r="S397"/>
  <c r="S239"/>
  <c r="O397"/>
  <c r="AF397"/>
  <c r="M397"/>
  <c r="AE397"/>
  <c r="AV396"/>
  <c r="AU396"/>
  <c r="AT396"/>
  <c r="AS396"/>
  <c r="AR396"/>
  <c r="AP396"/>
  <c r="AM396"/>
  <c r="AL396"/>
  <c r="AK396"/>
  <c r="AH396"/>
  <c r="AG396"/>
  <c r="AF396"/>
  <c r="AA396"/>
  <c r="O396"/>
  <c r="M396"/>
  <c r="AE396"/>
  <c r="AV395"/>
  <c r="AU395"/>
  <c r="AT395"/>
  <c r="AS395"/>
  <c r="AR395"/>
  <c r="AP395"/>
  <c r="AM395"/>
  <c r="AL395"/>
  <c r="AK395"/>
  <c r="AH395"/>
  <c r="AG395"/>
  <c r="AF395"/>
  <c r="AA395"/>
  <c r="O395"/>
  <c r="M395"/>
  <c r="AV394"/>
  <c r="AU394"/>
  <c r="AT394"/>
  <c r="AS394"/>
  <c r="AR394"/>
  <c r="AP394"/>
  <c r="AM394"/>
  <c r="AL394"/>
  <c r="AK394"/>
  <c r="AH394"/>
  <c r="AG394"/>
  <c r="AF394"/>
  <c r="AA394"/>
  <c r="O394"/>
  <c r="O393"/>
  <c r="M394"/>
  <c r="AQ393"/>
  <c r="AV393"/>
  <c r="AP393"/>
  <c r="AM393"/>
  <c r="AG393"/>
  <c r="AD393"/>
  <c r="AC393"/>
  <c r="AH393"/>
  <c r="AA393"/>
  <c r="Z393"/>
  <c r="Y393"/>
  <c r="X393"/>
  <c r="AL393"/>
  <c r="W393"/>
  <c r="AU393"/>
  <c r="V393"/>
  <c r="R393"/>
  <c r="AR393"/>
  <c r="Q393"/>
  <c r="P393"/>
  <c r="N393"/>
  <c r="L393"/>
  <c r="AP392"/>
  <c r="AA392"/>
  <c r="S392"/>
  <c r="AU391"/>
  <c r="AS391"/>
  <c r="AP391"/>
  <c r="AM391"/>
  <c r="AL391"/>
  <c r="AA391"/>
  <c r="AA231"/>
  <c r="S391"/>
  <c r="S386"/>
  <c r="O391"/>
  <c r="AV390"/>
  <c r="AU390"/>
  <c r="AT390"/>
  <c r="AS390"/>
  <c r="AR390"/>
  <c r="AP390"/>
  <c r="AM390"/>
  <c r="AL390"/>
  <c r="AK390"/>
  <c r="AH390"/>
  <c r="AG390"/>
  <c r="AA390"/>
  <c r="AA230"/>
  <c r="O390"/>
  <c r="M390"/>
  <c r="AE390"/>
  <c r="AV389"/>
  <c r="AU389"/>
  <c r="AT389"/>
  <c r="AS389"/>
  <c r="AR389"/>
  <c r="AP389"/>
  <c r="AM389"/>
  <c r="AL389"/>
  <c r="AK389"/>
  <c r="AH389"/>
  <c r="AG389"/>
  <c r="AF389"/>
  <c r="AA389"/>
  <c r="O389"/>
  <c r="M389"/>
  <c r="AE389"/>
  <c r="AV388"/>
  <c r="AU388"/>
  <c r="AT388"/>
  <c r="AS388"/>
  <c r="AR388"/>
  <c r="AP388"/>
  <c r="AM388"/>
  <c r="AL388"/>
  <c r="AK388"/>
  <c r="AH388"/>
  <c r="AG388"/>
  <c r="AF388"/>
  <c r="AA388"/>
  <c r="O388"/>
  <c r="M388"/>
  <c r="AV387"/>
  <c r="AU387"/>
  <c r="AT387"/>
  <c r="AS387"/>
  <c r="AR387"/>
  <c r="AP387"/>
  <c r="AM387"/>
  <c r="AL387"/>
  <c r="AK387"/>
  <c r="AH387"/>
  <c r="AG387"/>
  <c r="AF387"/>
  <c r="AA387"/>
  <c r="O387"/>
  <c r="O386"/>
  <c r="M387"/>
  <c r="AQ386"/>
  <c r="AV386"/>
  <c r="AP386"/>
  <c r="AM386"/>
  <c r="AG386"/>
  <c r="AD386"/>
  <c r="AC386"/>
  <c r="AH386"/>
  <c r="AA386"/>
  <c r="Z386"/>
  <c r="Y386"/>
  <c r="X386"/>
  <c r="AL386"/>
  <c r="W386"/>
  <c r="AU386"/>
  <c r="V386"/>
  <c r="R386"/>
  <c r="AR386"/>
  <c r="Q386"/>
  <c r="P386"/>
  <c r="N386"/>
  <c r="L386"/>
  <c r="AP385"/>
  <c r="AA385"/>
  <c r="S385"/>
  <c r="AV384"/>
  <c r="AU384"/>
  <c r="AT384"/>
  <c r="AS384"/>
  <c r="AR384"/>
  <c r="AP384"/>
  <c r="AM384"/>
  <c r="AL384"/>
  <c r="AK384"/>
  <c r="AH384"/>
  <c r="AG384"/>
  <c r="AF384"/>
  <c r="AA384"/>
  <c r="S384"/>
  <c r="S380"/>
  <c r="O384"/>
  <c r="M384"/>
  <c r="AE384"/>
  <c r="AV383"/>
  <c r="AU383"/>
  <c r="AT383"/>
  <c r="AS383"/>
  <c r="AR383"/>
  <c r="AP383"/>
  <c r="AM383"/>
  <c r="AL383"/>
  <c r="AK383"/>
  <c r="AH383"/>
  <c r="AG383"/>
  <c r="AF383"/>
  <c r="AA383"/>
  <c r="AA221"/>
  <c r="O383"/>
  <c r="AE383"/>
  <c r="M383"/>
  <c r="AV382"/>
  <c r="AU382"/>
  <c r="AT382"/>
  <c r="AS382"/>
  <c r="AR382"/>
  <c r="AP382"/>
  <c r="AM382"/>
  <c r="AL382"/>
  <c r="AK382"/>
  <c r="AH382"/>
  <c r="AG382"/>
  <c r="AF382"/>
  <c r="AA382"/>
  <c r="AA220"/>
  <c r="O382"/>
  <c r="AE382"/>
  <c r="M382"/>
  <c r="AV381"/>
  <c r="AU381"/>
  <c r="AT381"/>
  <c r="AS381"/>
  <c r="AR381"/>
  <c r="AP381"/>
  <c r="AM381"/>
  <c r="AL381"/>
  <c r="AK381"/>
  <c r="AH381"/>
  <c r="AG381"/>
  <c r="AF381"/>
  <c r="AA381"/>
  <c r="AA219"/>
  <c r="O381"/>
  <c r="AE381"/>
  <c r="M381"/>
  <c r="M380"/>
  <c r="AE380"/>
  <c r="AT380"/>
  <c r="AQ380"/>
  <c r="AP380"/>
  <c r="AK380"/>
  <c r="AH380"/>
  <c r="AD380"/>
  <c r="AC380"/>
  <c r="AC378"/>
  <c r="AH378"/>
  <c r="AA380"/>
  <c r="Z380"/>
  <c r="Y380"/>
  <c r="AM380"/>
  <c r="X380"/>
  <c r="AL380"/>
  <c r="W380"/>
  <c r="V380"/>
  <c r="R380"/>
  <c r="Q380"/>
  <c r="P380"/>
  <c r="AG380"/>
  <c r="O380"/>
  <c r="O378"/>
  <c r="N380"/>
  <c r="N378"/>
  <c r="L380"/>
  <c r="L378"/>
  <c r="AP379"/>
  <c r="AA379"/>
  <c r="S379"/>
  <c r="AP378"/>
  <c r="AF378"/>
  <c r="AD378"/>
  <c r="AA378"/>
  <c r="Z378"/>
  <c r="W378"/>
  <c r="P378"/>
  <c r="AP377"/>
  <c r="AA377"/>
  <c r="S377"/>
  <c r="AP376"/>
  <c r="AA376"/>
  <c r="S376"/>
  <c r="AP375"/>
  <c r="AA375"/>
  <c r="S375"/>
  <c r="S213"/>
  <c r="AP374"/>
  <c r="AA374"/>
  <c r="S374"/>
  <c r="AV373"/>
  <c r="AU373"/>
  <c r="AT373"/>
  <c r="AS373"/>
  <c r="AR373"/>
  <c r="AP373"/>
  <c r="AM373"/>
  <c r="AL373"/>
  <c r="AK373"/>
  <c r="AH373"/>
  <c r="AG373"/>
  <c r="AA373"/>
  <c r="O373"/>
  <c r="AE373"/>
  <c r="M373"/>
  <c r="M372"/>
  <c r="M361"/>
  <c r="AT372"/>
  <c r="AQ372"/>
  <c r="AP372"/>
  <c r="AH372"/>
  <c r="AD372"/>
  <c r="AC372"/>
  <c r="AC361"/>
  <c r="AA372"/>
  <c r="Z372"/>
  <c r="Y372"/>
  <c r="X372"/>
  <c r="W372"/>
  <c r="AL372"/>
  <c r="V372"/>
  <c r="R372"/>
  <c r="AR372"/>
  <c r="Q372"/>
  <c r="AG372"/>
  <c r="P372"/>
  <c r="O372"/>
  <c r="N372"/>
  <c r="L372"/>
  <c r="AP371"/>
  <c r="AA371"/>
  <c r="S371"/>
  <c r="AP370"/>
  <c r="AA370"/>
  <c r="S370"/>
  <c r="S368"/>
  <c r="AV369"/>
  <c r="AU369"/>
  <c r="AT369"/>
  <c r="AS369"/>
  <c r="AR369"/>
  <c r="AP369"/>
  <c r="AM369"/>
  <c r="AL369"/>
  <c r="AK369"/>
  <c r="AH369"/>
  <c r="AG369"/>
  <c r="AA369"/>
  <c r="O369"/>
  <c r="M369"/>
  <c r="AV368"/>
  <c r="AT368"/>
  <c r="AS368"/>
  <c r="AQ368"/>
  <c r="AU368"/>
  <c r="AP368"/>
  <c r="AH368"/>
  <c r="AG368"/>
  <c r="AD368"/>
  <c r="AD361"/>
  <c r="AD360"/>
  <c r="AD358"/>
  <c r="AD357"/>
  <c r="AC368"/>
  <c r="AA368"/>
  <c r="Z368"/>
  <c r="Y368"/>
  <c r="AM368"/>
  <c r="X368"/>
  <c r="AL368"/>
  <c r="W368"/>
  <c r="AK368"/>
  <c r="V368"/>
  <c r="AR368"/>
  <c r="R368"/>
  <c r="Q368"/>
  <c r="P368"/>
  <c r="N368"/>
  <c r="N361"/>
  <c r="N360"/>
  <c r="N358"/>
  <c r="N357"/>
  <c r="M368"/>
  <c r="L368"/>
  <c r="AP367"/>
  <c r="AA367"/>
  <c r="S367"/>
  <c r="AP366"/>
  <c r="AA366"/>
  <c r="S366"/>
  <c r="S206"/>
  <c r="AP365"/>
  <c r="AM365"/>
  <c r="AH365"/>
  <c r="AG365"/>
  <c r="AF365"/>
  <c r="AA365"/>
  <c r="AA207"/>
  <c r="S365"/>
  <c r="S207"/>
  <c r="O365"/>
  <c r="AE365"/>
  <c r="M365"/>
  <c r="AV364"/>
  <c r="AU364"/>
  <c r="AT364"/>
  <c r="AS364"/>
  <c r="AR364"/>
  <c r="AP364"/>
  <c r="AM364"/>
  <c r="AL364"/>
  <c r="AK364"/>
  <c r="AH364"/>
  <c r="AG364"/>
  <c r="AE364"/>
  <c r="AA364"/>
  <c r="O364"/>
  <c r="AF364"/>
  <c r="M364"/>
  <c r="AV363"/>
  <c r="AQ363"/>
  <c r="AU363"/>
  <c r="AP363"/>
  <c r="AL363"/>
  <c r="AE363"/>
  <c r="AD363"/>
  <c r="AC363"/>
  <c r="AA363"/>
  <c r="Z363"/>
  <c r="Y363"/>
  <c r="AM363"/>
  <c r="X363"/>
  <c r="W363"/>
  <c r="AT363"/>
  <c r="V363"/>
  <c r="AR363"/>
  <c r="R363"/>
  <c r="Q363"/>
  <c r="P363"/>
  <c r="O363"/>
  <c r="AF363"/>
  <c r="N363"/>
  <c r="M363"/>
  <c r="L363"/>
  <c r="AP362"/>
  <c r="AA362"/>
  <c r="AQ361"/>
  <c r="AP361"/>
  <c r="AA361"/>
  <c r="Z361"/>
  <c r="W361"/>
  <c r="V361"/>
  <c r="Q361"/>
  <c r="P361"/>
  <c r="L361"/>
  <c r="L360"/>
  <c r="L358"/>
  <c r="L357"/>
  <c r="AP360"/>
  <c r="AA360"/>
  <c r="Z360"/>
  <c r="P360"/>
  <c r="AP359"/>
  <c r="AA359"/>
  <c r="AP358"/>
  <c r="AA358"/>
  <c r="Z358"/>
  <c r="P358"/>
  <c r="AP357"/>
  <c r="AA357"/>
  <c r="AP356"/>
  <c r="AA356"/>
  <c r="AP355"/>
  <c r="AA355"/>
  <c r="AP354"/>
  <c r="AA354"/>
  <c r="AP353"/>
  <c r="AA353"/>
  <c r="AP352"/>
  <c r="AP351"/>
  <c r="AP349"/>
  <c r="AP348"/>
  <c r="AP347"/>
  <c r="AP346"/>
  <c r="AP345"/>
  <c r="AP344"/>
  <c r="AP343"/>
  <c r="AP342"/>
  <c r="AP341"/>
  <c r="AQ340"/>
  <c r="AQ339"/>
  <c r="AQ337"/>
  <c r="AP340"/>
  <c r="AD340"/>
  <c r="AC340"/>
  <c r="AC339"/>
  <c r="AC337"/>
  <c r="AB340"/>
  <c r="AB339"/>
  <c r="AB337"/>
  <c r="Y340"/>
  <c r="AM340"/>
  <c r="X340"/>
  <c r="W340"/>
  <c r="V340"/>
  <c r="AR340"/>
  <c r="U340"/>
  <c r="S340"/>
  <c r="S339"/>
  <c r="S337"/>
  <c r="R340"/>
  <c r="Q340"/>
  <c r="P340"/>
  <c r="AF340"/>
  <c r="O340"/>
  <c r="N340"/>
  <c r="N339"/>
  <c r="N337"/>
  <c r="M340"/>
  <c r="AE340"/>
  <c r="L340"/>
  <c r="AP339"/>
  <c r="AD339"/>
  <c r="AD337"/>
  <c r="Y339"/>
  <c r="AM339"/>
  <c r="X339"/>
  <c r="X337"/>
  <c r="U339"/>
  <c r="Q339"/>
  <c r="P339"/>
  <c r="AF339"/>
  <c r="O339"/>
  <c r="L339"/>
  <c r="L337"/>
  <c r="AP338"/>
  <c r="U338"/>
  <c r="AP337"/>
  <c r="AM337"/>
  <c r="Y337"/>
  <c r="U337"/>
  <c r="Q337"/>
  <c r="P337"/>
  <c r="AP336"/>
  <c r="U336"/>
  <c r="AU335"/>
  <c r="AQ335"/>
  <c r="AP335"/>
  <c r="AM335"/>
  <c r="AF335"/>
  <c r="AD335"/>
  <c r="AC335"/>
  <c r="AB335"/>
  <c r="Y335"/>
  <c r="X335"/>
  <c r="W335"/>
  <c r="V335"/>
  <c r="U335"/>
  <c r="R335"/>
  <c r="Q335"/>
  <c r="AH335"/>
  <c r="P335"/>
  <c r="O335"/>
  <c r="AE335"/>
  <c r="N335"/>
  <c r="M335"/>
  <c r="L335"/>
  <c r="AQ334"/>
  <c r="AP334"/>
  <c r="AD334"/>
  <c r="AC334"/>
  <c r="AB334"/>
  <c r="AB333"/>
  <c r="Y334"/>
  <c r="AM334"/>
  <c r="X334"/>
  <c r="AL334"/>
  <c r="W334"/>
  <c r="W333"/>
  <c r="V334"/>
  <c r="V333"/>
  <c r="U334"/>
  <c r="R334"/>
  <c r="Q334"/>
  <c r="P334"/>
  <c r="P333"/>
  <c r="AF333"/>
  <c r="O334"/>
  <c r="N334"/>
  <c r="N333"/>
  <c r="M334"/>
  <c r="M333"/>
  <c r="L334"/>
  <c r="AP333"/>
  <c r="AD333"/>
  <c r="AC333"/>
  <c r="X333"/>
  <c r="U333"/>
  <c r="Q333"/>
  <c r="AG333"/>
  <c r="O333"/>
  <c r="AE333"/>
  <c r="L333"/>
  <c r="AP332"/>
  <c r="U332"/>
  <c r="AV331"/>
  <c r="AQ331"/>
  <c r="AQ330"/>
  <c r="AP331"/>
  <c r="AL331"/>
  <c r="AH331"/>
  <c r="AD331"/>
  <c r="AC331"/>
  <c r="AB331"/>
  <c r="AB330"/>
  <c r="Y331"/>
  <c r="AM331"/>
  <c r="X331"/>
  <c r="W331"/>
  <c r="AT331"/>
  <c r="V331"/>
  <c r="U331"/>
  <c r="S331"/>
  <c r="R331"/>
  <c r="R330"/>
  <c r="Q331"/>
  <c r="AG331"/>
  <c r="P331"/>
  <c r="AF331"/>
  <c r="O331"/>
  <c r="N331"/>
  <c r="N330"/>
  <c r="M331"/>
  <c r="M330"/>
  <c r="L331"/>
  <c r="AP330"/>
  <c r="AD330"/>
  <c r="AC330"/>
  <c r="X330"/>
  <c r="U330"/>
  <c r="S330"/>
  <c r="Q330"/>
  <c r="O330"/>
  <c r="L330"/>
  <c r="AP329"/>
  <c r="U329"/>
  <c r="AV328"/>
  <c r="AT328"/>
  <c r="AQ328"/>
  <c r="AU328"/>
  <c r="AP328"/>
  <c r="AL328"/>
  <c r="AD328"/>
  <c r="AC328"/>
  <c r="AB328"/>
  <c r="Y328"/>
  <c r="X328"/>
  <c r="AM328"/>
  <c r="W328"/>
  <c r="AS328"/>
  <c r="V328"/>
  <c r="AR328"/>
  <c r="U328"/>
  <c r="R328"/>
  <c r="Q328"/>
  <c r="AG328"/>
  <c r="P328"/>
  <c r="O328"/>
  <c r="AF328"/>
  <c r="N328"/>
  <c r="M328"/>
  <c r="L328"/>
  <c r="AQ327"/>
  <c r="AP327"/>
  <c r="U327"/>
  <c r="AQ326"/>
  <c r="AV326"/>
  <c r="AP326"/>
  <c r="AD326"/>
  <c r="AC326"/>
  <c r="AB326"/>
  <c r="Y326"/>
  <c r="X326"/>
  <c r="AM326"/>
  <c r="W326"/>
  <c r="AU326"/>
  <c r="V326"/>
  <c r="U326"/>
  <c r="S326"/>
  <c r="R326"/>
  <c r="Q326"/>
  <c r="P326"/>
  <c r="O326"/>
  <c r="AE326"/>
  <c r="N326"/>
  <c r="M326"/>
  <c r="L326"/>
  <c r="AQ325"/>
  <c r="AP325"/>
  <c r="AD325"/>
  <c r="AC325"/>
  <c r="AB325"/>
  <c r="Y325"/>
  <c r="X325"/>
  <c r="W325"/>
  <c r="V325"/>
  <c r="U325"/>
  <c r="R325"/>
  <c r="Q325"/>
  <c r="P325"/>
  <c r="O325"/>
  <c r="N325"/>
  <c r="M325"/>
  <c r="L325"/>
  <c r="AR324"/>
  <c r="AQ324"/>
  <c r="AP324"/>
  <c r="AF324"/>
  <c r="AD324"/>
  <c r="AC324"/>
  <c r="AB324"/>
  <c r="Y324"/>
  <c r="AM324"/>
  <c r="X324"/>
  <c r="W324"/>
  <c r="V324"/>
  <c r="U324"/>
  <c r="S324"/>
  <c r="R324"/>
  <c r="Q324"/>
  <c r="AH324"/>
  <c r="P324"/>
  <c r="P322"/>
  <c r="O324"/>
  <c r="AE324"/>
  <c r="N324"/>
  <c r="N322"/>
  <c r="M324"/>
  <c r="L324"/>
  <c r="AP323"/>
  <c r="U323"/>
  <c r="AQ322"/>
  <c r="AP322"/>
  <c r="AC322"/>
  <c r="AB322"/>
  <c r="X322"/>
  <c r="V322"/>
  <c r="AR322"/>
  <c r="U322"/>
  <c r="R322"/>
  <c r="O322"/>
  <c r="AE322"/>
  <c r="M322"/>
  <c r="AP321"/>
  <c r="U321"/>
  <c r="AV320"/>
  <c r="AT320"/>
  <c r="AQ320"/>
  <c r="AP320"/>
  <c r="AD320"/>
  <c r="AC320"/>
  <c r="AB320"/>
  <c r="Y320"/>
  <c r="AM320"/>
  <c r="X320"/>
  <c r="AL320"/>
  <c r="W320"/>
  <c r="AU320"/>
  <c r="V320"/>
  <c r="U320"/>
  <c r="R320"/>
  <c r="Q320"/>
  <c r="P320"/>
  <c r="P317"/>
  <c r="O320"/>
  <c r="N320"/>
  <c r="M320"/>
  <c r="M317"/>
  <c r="M315"/>
  <c r="L320"/>
  <c r="AQ319"/>
  <c r="AV319"/>
  <c r="AP319"/>
  <c r="AL319"/>
  <c r="AD319"/>
  <c r="AC319"/>
  <c r="AB319"/>
  <c r="Y319"/>
  <c r="AM319"/>
  <c r="X319"/>
  <c r="W319"/>
  <c r="V319"/>
  <c r="AS319"/>
  <c r="U319"/>
  <c r="R319"/>
  <c r="Q319"/>
  <c r="AG319"/>
  <c r="P319"/>
  <c r="O319"/>
  <c r="AE319"/>
  <c r="N319"/>
  <c r="M319"/>
  <c r="L319"/>
  <c r="AR318"/>
  <c r="AQ318"/>
  <c r="AP318"/>
  <c r="AD318"/>
  <c r="AD317"/>
  <c r="AC318"/>
  <c r="AC317"/>
  <c r="AC315"/>
  <c r="AB318"/>
  <c r="Y318"/>
  <c r="AM318"/>
  <c r="X318"/>
  <c r="AL318"/>
  <c r="W318"/>
  <c r="AV318"/>
  <c r="V318"/>
  <c r="U318"/>
  <c r="R318"/>
  <c r="Q318"/>
  <c r="P318"/>
  <c r="O318"/>
  <c r="AE318"/>
  <c r="N318"/>
  <c r="N317"/>
  <c r="M318"/>
  <c r="L318"/>
  <c r="L317"/>
  <c r="AQ317"/>
  <c r="AP317"/>
  <c r="AB317"/>
  <c r="X317"/>
  <c r="X315"/>
  <c r="U317"/>
  <c r="R317"/>
  <c r="Q317"/>
  <c r="O317"/>
  <c r="AP316"/>
  <c r="U316"/>
  <c r="AP315"/>
  <c r="U315"/>
  <c r="AP314"/>
  <c r="U314"/>
  <c r="AQ313"/>
  <c r="AQ312"/>
  <c r="AQ310"/>
  <c r="AP313"/>
  <c r="AD313"/>
  <c r="AC313"/>
  <c r="Y313"/>
  <c r="X313"/>
  <c r="W313"/>
  <c r="W312"/>
  <c r="W310"/>
  <c r="V313"/>
  <c r="V312"/>
  <c r="V310"/>
  <c r="U313"/>
  <c r="T313"/>
  <c r="T312"/>
  <c r="R313"/>
  <c r="AP312"/>
  <c r="AD312"/>
  <c r="AD310"/>
  <c r="AC312"/>
  <c r="AC310"/>
  <c r="AB312"/>
  <c r="AA312"/>
  <c r="AA310"/>
  <c r="Y312"/>
  <c r="X312"/>
  <c r="U312"/>
  <c r="R312"/>
  <c r="R310"/>
  <c r="Q312"/>
  <c r="P312"/>
  <c r="P310"/>
  <c r="O312"/>
  <c r="N312"/>
  <c r="N310"/>
  <c r="M312"/>
  <c r="L312"/>
  <c r="L310"/>
  <c r="AP311"/>
  <c r="U311"/>
  <c r="AP310"/>
  <c r="AB310"/>
  <c r="Y310"/>
  <c r="X310"/>
  <c r="X308"/>
  <c r="U310"/>
  <c r="Q310"/>
  <c r="O310"/>
  <c r="M310"/>
  <c r="AP309"/>
  <c r="U309"/>
  <c r="AP308"/>
  <c r="U308"/>
  <c r="U15"/>
  <c r="AP307"/>
  <c r="U307"/>
  <c r="AU306"/>
  <c r="AQ306"/>
  <c r="AQ305"/>
  <c r="AP306"/>
  <c r="AK306"/>
  <c r="AD306"/>
  <c r="AC306"/>
  <c r="AB306"/>
  <c r="Y306"/>
  <c r="X306"/>
  <c r="AM306"/>
  <c r="W306"/>
  <c r="AT306"/>
  <c r="V306"/>
  <c r="AS306"/>
  <c r="U306"/>
  <c r="R306"/>
  <c r="Q306"/>
  <c r="P306"/>
  <c r="N306"/>
  <c r="AT305"/>
  <c r="AP305"/>
  <c r="AD305"/>
  <c r="AC305"/>
  <c r="AB305"/>
  <c r="Y305"/>
  <c r="W305"/>
  <c r="AK305"/>
  <c r="U305"/>
  <c r="R305"/>
  <c r="P305"/>
  <c r="N305"/>
  <c r="AP304"/>
  <c r="U304"/>
  <c r="AU303"/>
  <c r="AQ303"/>
  <c r="AV303"/>
  <c r="AP303"/>
  <c r="AL303"/>
  <c r="AD303"/>
  <c r="AC303"/>
  <c r="AB303"/>
  <c r="AB302"/>
  <c r="Y303"/>
  <c r="AM303"/>
  <c r="X303"/>
  <c r="W303"/>
  <c r="AS303"/>
  <c r="V303"/>
  <c r="U303"/>
  <c r="R303"/>
  <c r="R302"/>
  <c r="Q303"/>
  <c r="P303"/>
  <c r="O303"/>
  <c r="N303"/>
  <c r="M303"/>
  <c r="L303"/>
  <c r="AU302"/>
  <c r="AQ302"/>
  <c r="AV302"/>
  <c r="AP302"/>
  <c r="AL302"/>
  <c r="AD302"/>
  <c r="AC302"/>
  <c r="Y302"/>
  <c r="AM302"/>
  <c r="X302"/>
  <c r="W302"/>
  <c r="AS302"/>
  <c r="V302"/>
  <c r="U302"/>
  <c r="Q302"/>
  <c r="P302"/>
  <c r="O302"/>
  <c r="N302"/>
  <c r="M302"/>
  <c r="L302"/>
  <c r="AP301"/>
  <c r="U301"/>
  <c r="AQ300"/>
  <c r="AU300"/>
  <c r="AP300"/>
  <c r="AD300"/>
  <c r="AC300"/>
  <c r="AC299"/>
  <c r="AB300"/>
  <c r="Y300"/>
  <c r="X300"/>
  <c r="AM300"/>
  <c r="W300"/>
  <c r="V300"/>
  <c r="V299"/>
  <c r="U300"/>
  <c r="R300"/>
  <c r="Q300"/>
  <c r="P300"/>
  <c r="O300"/>
  <c r="O299"/>
  <c r="N300"/>
  <c r="M300"/>
  <c r="M299"/>
  <c r="L300"/>
  <c r="AQ299"/>
  <c r="AV299"/>
  <c r="AP299"/>
  <c r="AD299"/>
  <c r="AB299"/>
  <c r="Y299"/>
  <c r="W299"/>
  <c r="U299"/>
  <c r="R299"/>
  <c r="Q299"/>
  <c r="P299"/>
  <c r="N299"/>
  <c r="L299"/>
  <c r="AP298"/>
  <c r="U298"/>
  <c r="AQ297"/>
  <c r="AP297"/>
  <c r="AD297"/>
  <c r="AC297"/>
  <c r="AC295"/>
  <c r="AB297"/>
  <c r="Y297"/>
  <c r="X297"/>
  <c r="W297"/>
  <c r="V297"/>
  <c r="U297"/>
  <c r="S297"/>
  <c r="R297"/>
  <c r="Q297"/>
  <c r="P297"/>
  <c r="O297"/>
  <c r="N297"/>
  <c r="M297"/>
  <c r="L297"/>
  <c r="AS296"/>
  <c r="AQ296"/>
  <c r="AP296"/>
  <c r="AD296"/>
  <c r="AD295"/>
  <c r="AC296"/>
  <c r="AB296"/>
  <c r="AB295"/>
  <c r="AA296"/>
  <c r="Y296"/>
  <c r="X296"/>
  <c r="W296"/>
  <c r="W295"/>
  <c r="V296"/>
  <c r="U296"/>
  <c r="S296"/>
  <c r="R296"/>
  <c r="R295"/>
  <c r="Q296"/>
  <c r="P296"/>
  <c r="P295"/>
  <c r="O296"/>
  <c r="N296"/>
  <c r="N295"/>
  <c r="M296"/>
  <c r="L296"/>
  <c r="L295"/>
  <c r="AQ295"/>
  <c r="AP295"/>
  <c r="X295"/>
  <c r="V295"/>
  <c r="U295"/>
  <c r="Q295"/>
  <c r="O295"/>
  <c r="M295"/>
  <c r="AP294"/>
  <c r="U294"/>
  <c r="AR293"/>
  <c r="AQ293"/>
  <c r="AP293"/>
  <c r="AH293"/>
  <c r="AF293"/>
  <c r="AD293"/>
  <c r="AC293"/>
  <c r="AB293"/>
  <c r="AA293"/>
  <c r="Y293"/>
  <c r="AM293"/>
  <c r="X293"/>
  <c r="W293"/>
  <c r="V293"/>
  <c r="U293"/>
  <c r="S293"/>
  <c r="R293"/>
  <c r="Q293"/>
  <c r="AG293"/>
  <c r="P293"/>
  <c r="O293"/>
  <c r="AE293"/>
  <c r="N293"/>
  <c r="N291"/>
  <c r="N289"/>
  <c r="M293"/>
  <c r="L293"/>
  <c r="AQ292"/>
  <c r="AP292"/>
  <c r="AD292"/>
  <c r="AC292"/>
  <c r="AH292"/>
  <c r="AB292"/>
  <c r="V292"/>
  <c r="U292"/>
  <c r="R292"/>
  <c r="Q292"/>
  <c r="Q291"/>
  <c r="P292"/>
  <c r="N292"/>
  <c r="M292"/>
  <c r="M291"/>
  <c r="L292"/>
  <c r="AP291"/>
  <c r="AD291"/>
  <c r="AB291"/>
  <c r="U291"/>
  <c r="R291"/>
  <c r="P291"/>
  <c r="P289"/>
  <c r="L291"/>
  <c r="AP290"/>
  <c r="U290"/>
  <c r="AP289"/>
  <c r="U289"/>
  <c r="AP288"/>
  <c r="U288"/>
  <c r="AR287"/>
  <c r="AQ287"/>
  <c r="AP287"/>
  <c r="AH287"/>
  <c r="AD287"/>
  <c r="AC287"/>
  <c r="AB287"/>
  <c r="AA287"/>
  <c r="Y287"/>
  <c r="AM287"/>
  <c r="X287"/>
  <c r="W287"/>
  <c r="V287"/>
  <c r="U287"/>
  <c r="R287"/>
  <c r="Q287"/>
  <c r="AG287"/>
  <c r="P287"/>
  <c r="N287"/>
  <c r="N285"/>
  <c r="N282"/>
  <c r="L287"/>
  <c r="AT286"/>
  <c r="AQ286"/>
  <c r="AP286"/>
  <c r="AM286"/>
  <c r="AK286"/>
  <c r="AD286"/>
  <c r="AC286"/>
  <c r="AH286"/>
  <c r="AB286"/>
  <c r="Y286"/>
  <c r="X286"/>
  <c r="AL286"/>
  <c r="W286"/>
  <c r="V286"/>
  <c r="U286"/>
  <c r="R286"/>
  <c r="Q286"/>
  <c r="Q285"/>
  <c r="P286"/>
  <c r="AF286"/>
  <c r="O286"/>
  <c r="N286"/>
  <c r="M286"/>
  <c r="L286"/>
  <c r="AP285"/>
  <c r="AD285"/>
  <c r="AD282"/>
  <c r="AB285"/>
  <c r="AB282"/>
  <c r="Y285"/>
  <c r="Y282"/>
  <c r="U285"/>
  <c r="R285"/>
  <c r="R282"/>
  <c r="P285"/>
  <c r="L285"/>
  <c r="L282"/>
  <c r="AP284"/>
  <c r="U284"/>
  <c r="AP283"/>
  <c r="U283"/>
  <c r="AP282"/>
  <c r="U282"/>
  <c r="AP281"/>
  <c r="U281"/>
  <c r="AQ280"/>
  <c r="AP280"/>
  <c r="AD280"/>
  <c r="AD278"/>
  <c r="AD273"/>
  <c r="AC280"/>
  <c r="AB280"/>
  <c r="Y280"/>
  <c r="X280"/>
  <c r="W280"/>
  <c r="V280"/>
  <c r="U280"/>
  <c r="R280"/>
  <c r="Q280"/>
  <c r="P280"/>
  <c r="O280"/>
  <c r="N280"/>
  <c r="M280"/>
  <c r="L280"/>
  <c r="L278"/>
  <c r="L273"/>
  <c r="AU279"/>
  <c r="AS279"/>
  <c r="AQ279"/>
  <c r="AQ278"/>
  <c r="AP279"/>
  <c r="AM279"/>
  <c r="AK279"/>
  <c r="AD279"/>
  <c r="AC279"/>
  <c r="AB279"/>
  <c r="Y279"/>
  <c r="X279"/>
  <c r="X278"/>
  <c r="W279"/>
  <c r="AT279"/>
  <c r="V279"/>
  <c r="AR279"/>
  <c r="U279"/>
  <c r="R279"/>
  <c r="Q279"/>
  <c r="AG279"/>
  <c r="P279"/>
  <c r="N279"/>
  <c r="M279"/>
  <c r="M278"/>
  <c r="L279"/>
  <c r="AP278"/>
  <c r="AL278"/>
  <c r="AB278"/>
  <c r="Y278"/>
  <c r="AM278"/>
  <c r="W278"/>
  <c r="U278"/>
  <c r="R278"/>
  <c r="P278"/>
  <c r="N278"/>
  <c r="AP277"/>
  <c r="U277"/>
  <c r="AP276"/>
  <c r="U276"/>
  <c r="AQ275"/>
  <c r="AP275"/>
  <c r="AD275"/>
  <c r="AC275"/>
  <c r="AB275"/>
  <c r="AA275"/>
  <c r="Y275"/>
  <c r="X275"/>
  <c r="X273"/>
  <c r="W275"/>
  <c r="V275"/>
  <c r="U275"/>
  <c r="S275"/>
  <c r="R275"/>
  <c r="Q275"/>
  <c r="P275"/>
  <c r="O275"/>
  <c r="N275"/>
  <c r="M275"/>
  <c r="L275"/>
  <c r="AP274"/>
  <c r="U274"/>
  <c r="AP273"/>
  <c r="AL273"/>
  <c r="AB273"/>
  <c r="Y273"/>
  <c r="AM273"/>
  <c r="W273"/>
  <c r="U273"/>
  <c r="R273"/>
  <c r="P273"/>
  <c r="N273"/>
  <c r="AP272"/>
  <c r="U272"/>
  <c r="AQ271"/>
  <c r="AQ270"/>
  <c r="AQ268"/>
  <c r="AP271"/>
  <c r="AD271"/>
  <c r="AC271"/>
  <c r="AC270"/>
  <c r="AC268"/>
  <c r="AB271"/>
  <c r="Y271"/>
  <c r="X271"/>
  <c r="AM271"/>
  <c r="W271"/>
  <c r="AS271"/>
  <c r="V271"/>
  <c r="V270"/>
  <c r="U271"/>
  <c r="R271"/>
  <c r="Q271"/>
  <c r="Q270"/>
  <c r="Q268"/>
  <c r="P271"/>
  <c r="O271"/>
  <c r="O270"/>
  <c r="O268"/>
  <c r="N271"/>
  <c r="M271"/>
  <c r="M270"/>
  <c r="L271"/>
  <c r="AP270"/>
  <c r="AD270"/>
  <c r="AD268"/>
  <c r="AB270"/>
  <c r="AB268"/>
  <c r="Y270"/>
  <c r="Y268"/>
  <c r="W270"/>
  <c r="U270"/>
  <c r="R270"/>
  <c r="R268"/>
  <c r="P270"/>
  <c r="P268"/>
  <c r="N270"/>
  <c r="N268"/>
  <c r="L270"/>
  <c r="L268"/>
  <c r="AP269"/>
  <c r="U269"/>
  <c r="AP268"/>
  <c r="V268"/>
  <c r="U268"/>
  <c r="M268"/>
  <c r="AP267"/>
  <c r="U267"/>
  <c r="AR266"/>
  <c r="AQ266"/>
  <c r="AP266"/>
  <c r="AH266"/>
  <c r="AF266"/>
  <c r="AD266"/>
  <c r="AC266"/>
  <c r="AB266"/>
  <c r="Y266"/>
  <c r="AM266"/>
  <c r="X266"/>
  <c r="W266"/>
  <c r="V266"/>
  <c r="U266"/>
  <c r="R266"/>
  <c r="Q266"/>
  <c r="AG266"/>
  <c r="P266"/>
  <c r="O266"/>
  <c r="AE266"/>
  <c r="N266"/>
  <c r="N262"/>
  <c r="M266"/>
  <c r="L266"/>
  <c r="AQ265"/>
  <c r="AP265"/>
  <c r="AD265"/>
  <c r="AC265"/>
  <c r="AB265"/>
  <c r="Y265"/>
  <c r="AM265"/>
  <c r="X265"/>
  <c r="AL265"/>
  <c r="W265"/>
  <c r="V265"/>
  <c r="AR265"/>
  <c r="U265"/>
  <c r="R265"/>
  <c r="Q265"/>
  <c r="P265"/>
  <c r="O265"/>
  <c r="N265"/>
  <c r="M265"/>
  <c r="AE265"/>
  <c r="L265"/>
  <c r="AP264"/>
  <c r="U264"/>
  <c r="AU263"/>
  <c r="AQ263"/>
  <c r="AQ262"/>
  <c r="AP263"/>
  <c r="AM263"/>
  <c r="AK263"/>
  <c r="AD263"/>
  <c r="AC263"/>
  <c r="AB263"/>
  <c r="Y263"/>
  <c r="X263"/>
  <c r="X262"/>
  <c r="W263"/>
  <c r="AT263"/>
  <c r="V263"/>
  <c r="AS263"/>
  <c r="U263"/>
  <c r="S263"/>
  <c r="R263"/>
  <c r="Q263"/>
  <c r="AG263"/>
  <c r="P263"/>
  <c r="O263"/>
  <c r="O262"/>
  <c r="AE262"/>
  <c r="N263"/>
  <c r="M263"/>
  <c r="M262"/>
  <c r="L263"/>
  <c r="AP262"/>
  <c r="AD262"/>
  <c r="AB262"/>
  <c r="Y262"/>
  <c r="AM262"/>
  <c r="U262"/>
  <c r="R262"/>
  <c r="P262"/>
  <c r="L262"/>
  <c r="AP261"/>
  <c r="U261"/>
  <c r="AU260"/>
  <c r="AQ260"/>
  <c r="AQ259"/>
  <c r="AP260"/>
  <c r="AM260"/>
  <c r="AK260"/>
  <c r="AD260"/>
  <c r="AC260"/>
  <c r="AB260"/>
  <c r="Y260"/>
  <c r="X260"/>
  <c r="X259"/>
  <c r="W260"/>
  <c r="AT260"/>
  <c r="V260"/>
  <c r="AS260"/>
  <c r="U260"/>
  <c r="R260"/>
  <c r="Q260"/>
  <c r="AG260"/>
  <c r="P260"/>
  <c r="O260"/>
  <c r="O259"/>
  <c r="N260"/>
  <c r="M260"/>
  <c r="M259"/>
  <c r="M257"/>
  <c r="L260"/>
  <c r="AP259"/>
  <c r="AL259"/>
  <c r="AD259"/>
  <c r="AD257"/>
  <c r="AB259"/>
  <c r="Y259"/>
  <c r="Y257"/>
  <c r="W259"/>
  <c r="U259"/>
  <c r="R259"/>
  <c r="P259"/>
  <c r="P257"/>
  <c r="N259"/>
  <c r="N257"/>
  <c r="L259"/>
  <c r="L257"/>
  <c r="AP258"/>
  <c r="U258"/>
  <c r="AP257"/>
  <c r="U257"/>
  <c r="AP256"/>
  <c r="U256"/>
  <c r="AQ255"/>
  <c r="AU255"/>
  <c r="AP255"/>
  <c r="AH255"/>
  <c r="AD255"/>
  <c r="AC255"/>
  <c r="AB255"/>
  <c r="Y255"/>
  <c r="AM255"/>
  <c r="X255"/>
  <c r="W255"/>
  <c r="V255"/>
  <c r="U255"/>
  <c r="R255"/>
  <c r="AR255"/>
  <c r="Q255"/>
  <c r="AG255"/>
  <c r="P255"/>
  <c r="N255"/>
  <c r="L255"/>
  <c r="AU254"/>
  <c r="AQ254"/>
  <c r="AV254"/>
  <c r="AP254"/>
  <c r="AM254"/>
  <c r="AK254"/>
  <c r="AG254"/>
  <c r="AD254"/>
  <c r="AC254"/>
  <c r="AB254"/>
  <c r="AA254"/>
  <c r="Y254"/>
  <c r="X254"/>
  <c r="AL254"/>
  <c r="W254"/>
  <c r="AT254"/>
  <c r="V254"/>
  <c r="AR254"/>
  <c r="U254"/>
  <c r="S254"/>
  <c r="R254"/>
  <c r="Q254"/>
  <c r="P254"/>
  <c r="O254"/>
  <c r="AF254"/>
  <c r="N254"/>
  <c r="M254"/>
  <c r="AE254"/>
  <c r="L254"/>
  <c r="AR253"/>
  <c r="AQ253"/>
  <c r="AP253"/>
  <c r="AL253"/>
  <c r="AD253"/>
  <c r="AC253"/>
  <c r="AB253"/>
  <c r="Y253"/>
  <c r="AM253"/>
  <c r="X253"/>
  <c r="W253"/>
  <c r="V253"/>
  <c r="U253"/>
  <c r="R253"/>
  <c r="Q253"/>
  <c r="AG253"/>
  <c r="P253"/>
  <c r="O253"/>
  <c r="N253"/>
  <c r="M253"/>
  <c r="L253"/>
  <c r="AT252"/>
  <c r="AS252"/>
  <c r="AQ252"/>
  <c r="AV252"/>
  <c r="AP252"/>
  <c r="AM252"/>
  <c r="AK252"/>
  <c r="AD252"/>
  <c r="AC252"/>
  <c r="AB252"/>
  <c r="Y252"/>
  <c r="X252"/>
  <c r="AL252"/>
  <c r="W252"/>
  <c r="V252"/>
  <c r="AR252"/>
  <c r="U252"/>
  <c r="R252"/>
  <c r="Q252"/>
  <c r="P252"/>
  <c r="O252"/>
  <c r="AE252"/>
  <c r="N252"/>
  <c r="M252"/>
  <c r="L252"/>
  <c r="AT251"/>
  <c r="AR251"/>
  <c r="AQ251"/>
  <c r="AP251"/>
  <c r="AG251"/>
  <c r="AD251"/>
  <c r="AC251"/>
  <c r="AB251"/>
  <c r="AA251"/>
  <c r="Y251"/>
  <c r="AM251"/>
  <c r="X251"/>
  <c r="W251"/>
  <c r="V251"/>
  <c r="U251"/>
  <c r="S251"/>
  <c r="R251"/>
  <c r="Q251"/>
  <c r="AH251"/>
  <c r="P251"/>
  <c r="AF251"/>
  <c r="O251"/>
  <c r="N251"/>
  <c r="N248"/>
  <c r="M251"/>
  <c r="L251"/>
  <c r="AT250"/>
  <c r="AQ250"/>
  <c r="AP250"/>
  <c r="AM250"/>
  <c r="AD250"/>
  <c r="AC250"/>
  <c r="AH250"/>
  <c r="AB250"/>
  <c r="Y250"/>
  <c r="Y248"/>
  <c r="AM248"/>
  <c r="X250"/>
  <c r="AL250"/>
  <c r="W250"/>
  <c r="V250"/>
  <c r="U250"/>
  <c r="S250"/>
  <c r="R250"/>
  <c r="AK250"/>
  <c r="Q250"/>
  <c r="P250"/>
  <c r="P248"/>
  <c r="O250"/>
  <c r="N250"/>
  <c r="M250"/>
  <c r="L250"/>
  <c r="AV249"/>
  <c r="AS249"/>
  <c r="AQ249"/>
  <c r="AP249"/>
  <c r="AL249"/>
  <c r="AG249"/>
  <c r="AD249"/>
  <c r="AD248"/>
  <c r="AC249"/>
  <c r="AH249"/>
  <c r="AB249"/>
  <c r="AB248"/>
  <c r="AA249"/>
  <c r="Y249"/>
  <c r="X249"/>
  <c r="X248"/>
  <c r="W249"/>
  <c r="AU249"/>
  <c r="V249"/>
  <c r="U249"/>
  <c r="S249"/>
  <c r="R249"/>
  <c r="AR249"/>
  <c r="Q249"/>
  <c r="P249"/>
  <c r="O249"/>
  <c r="N249"/>
  <c r="M249"/>
  <c r="L249"/>
  <c r="L248"/>
  <c r="AP248"/>
  <c r="AC248"/>
  <c r="U248"/>
  <c r="AP247"/>
  <c r="U247"/>
  <c r="AP246"/>
  <c r="U246"/>
  <c r="AQ245"/>
  <c r="AQ244"/>
  <c r="AP245"/>
  <c r="AD245"/>
  <c r="AD244"/>
  <c r="AC245"/>
  <c r="AB245"/>
  <c r="AB244"/>
  <c r="Y245"/>
  <c r="X245"/>
  <c r="W245"/>
  <c r="W244"/>
  <c r="V245"/>
  <c r="U245"/>
  <c r="R245"/>
  <c r="R244"/>
  <c r="Q245"/>
  <c r="Q244"/>
  <c r="P245"/>
  <c r="P244"/>
  <c r="O245"/>
  <c r="N245"/>
  <c r="N244"/>
  <c r="M245"/>
  <c r="L245"/>
  <c r="L244"/>
  <c r="AP244"/>
  <c r="AC244"/>
  <c r="Y244"/>
  <c r="X244"/>
  <c r="V244"/>
  <c r="U244"/>
  <c r="O244"/>
  <c r="M244"/>
  <c r="AP243"/>
  <c r="U243"/>
  <c r="AR242"/>
  <c r="AQ242"/>
  <c r="AV242"/>
  <c r="AP242"/>
  <c r="AF242"/>
  <c r="AD242"/>
  <c r="AC242"/>
  <c r="AB242"/>
  <c r="Y242"/>
  <c r="AM242"/>
  <c r="X242"/>
  <c r="W242"/>
  <c r="V242"/>
  <c r="U242"/>
  <c r="R242"/>
  <c r="Q242"/>
  <c r="AH242"/>
  <c r="P242"/>
  <c r="O242"/>
  <c r="N242"/>
  <c r="M242"/>
  <c r="AE242"/>
  <c r="L242"/>
  <c r="AT241"/>
  <c r="AQ241"/>
  <c r="AP241"/>
  <c r="AD241"/>
  <c r="AC241"/>
  <c r="AH241"/>
  <c r="AB241"/>
  <c r="Y241"/>
  <c r="AM241"/>
  <c r="X241"/>
  <c r="AL241"/>
  <c r="W241"/>
  <c r="V241"/>
  <c r="V233"/>
  <c r="AR233"/>
  <c r="U241"/>
  <c r="S241"/>
  <c r="R241"/>
  <c r="AK241"/>
  <c r="Q241"/>
  <c r="P241"/>
  <c r="AG241"/>
  <c r="O241"/>
  <c r="N241"/>
  <c r="M241"/>
  <c r="AE241"/>
  <c r="L241"/>
  <c r="AV240"/>
  <c r="AS240"/>
  <c r="AQ240"/>
  <c r="AP240"/>
  <c r="AG240"/>
  <c r="AD240"/>
  <c r="AC240"/>
  <c r="AH240"/>
  <c r="AB240"/>
  <c r="Y240"/>
  <c r="X240"/>
  <c r="AL240"/>
  <c r="W240"/>
  <c r="AU240"/>
  <c r="V240"/>
  <c r="U240"/>
  <c r="R240"/>
  <c r="AR240"/>
  <c r="Q240"/>
  <c r="P240"/>
  <c r="N240"/>
  <c r="M240"/>
  <c r="L240"/>
  <c r="AQ239"/>
  <c r="AV239"/>
  <c r="AP239"/>
  <c r="AM239"/>
  <c r="AF239"/>
  <c r="AD239"/>
  <c r="AC239"/>
  <c r="AB239"/>
  <c r="Y239"/>
  <c r="X239"/>
  <c r="W239"/>
  <c r="AU239"/>
  <c r="V239"/>
  <c r="AR239"/>
  <c r="U239"/>
  <c r="R239"/>
  <c r="Q239"/>
  <c r="AG239"/>
  <c r="P239"/>
  <c r="O239"/>
  <c r="N239"/>
  <c r="M239"/>
  <c r="AE239"/>
  <c r="L239"/>
  <c r="AV238"/>
  <c r="AQ238"/>
  <c r="AU238"/>
  <c r="AP238"/>
  <c r="AL238"/>
  <c r="AH238"/>
  <c r="AD238"/>
  <c r="AC238"/>
  <c r="AB238"/>
  <c r="Y238"/>
  <c r="AM238"/>
  <c r="X238"/>
  <c r="W238"/>
  <c r="V238"/>
  <c r="AS238"/>
  <c r="U238"/>
  <c r="R238"/>
  <c r="Q238"/>
  <c r="AG238"/>
  <c r="P238"/>
  <c r="AF238"/>
  <c r="O238"/>
  <c r="N238"/>
  <c r="M238"/>
  <c r="AE238"/>
  <c r="L238"/>
  <c r="AU237"/>
  <c r="AT237"/>
  <c r="AS237"/>
  <c r="AR237"/>
  <c r="AQ237"/>
  <c r="AV237"/>
  <c r="AP237"/>
  <c r="AK237"/>
  <c r="AD237"/>
  <c r="AC237"/>
  <c r="AB237"/>
  <c r="Y237"/>
  <c r="AM237"/>
  <c r="X237"/>
  <c r="AL237"/>
  <c r="W237"/>
  <c r="V237"/>
  <c r="U237"/>
  <c r="R237"/>
  <c r="Q237"/>
  <c r="AG237"/>
  <c r="P237"/>
  <c r="N237"/>
  <c r="M237"/>
  <c r="L237"/>
  <c r="AT236"/>
  <c r="AQ236"/>
  <c r="AU236"/>
  <c r="AP236"/>
  <c r="AH236"/>
  <c r="AD236"/>
  <c r="AC236"/>
  <c r="AB236"/>
  <c r="Y236"/>
  <c r="X236"/>
  <c r="W236"/>
  <c r="AV236"/>
  <c r="V236"/>
  <c r="U236"/>
  <c r="R236"/>
  <c r="AR236"/>
  <c r="Q236"/>
  <c r="P236"/>
  <c r="O236"/>
  <c r="N236"/>
  <c r="L236"/>
  <c r="AS235"/>
  <c r="AQ235"/>
  <c r="AV235"/>
  <c r="AP235"/>
  <c r="AG235"/>
  <c r="AD235"/>
  <c r="AC235"/>
  <c r="AH235"/>
  <c r="AB235"/>
  <c r="AB233"/>
  <c r="Y235"/>
  <c r="X235"/>
  <c r="W235"/>
  <c r="AT235"/>
  <c r="V235"/>
  <c r="AR235"/>
  <c r="U235"/>
  <c r="R235"/>
  <c r="R233"/>
  <c r="Q235"/>
  <c r="P235"/>
  <c r="O235"/>
  <c r="N235"/>
  <c r="L235"/>
  <c r="AR234"/>
  <c r="AQ234"/>
  <c r="AP234"/>
  <c r="AF234"/>
  <c r="AD234"/>
  <c r="AD233"/>
  <c r="AC234"/>
  <c r="AB234"/>
  <c r="Y234"/>
  <c r="AM234"/>
  <c r="X234"/>
  <c r="W234"/>
  <c r="V234"/>
  <c r="U234"/>
  <c r="S234"/>
  <c r="R234"/>
  <c r="Q234"/>
  <c r="Q233"/>
  <c r="P234"/>
  <c r="O234"/>
  <c r="N234"/>
  <c r="N233"/>
  <c r="M234"/>
  <c r="AE234"/>
  <c r="L234"/>
  <c r="AQ233"/>
  <c r="AP233"/>
  <c r="U233"/>
  <c r="AP232"/>
  <c r="U232"/>
  <c r="AU231"/>
  <c r="AQ231"/>
  <c r="AP231"/>
  <c r="AD231"/>
  <c r="AC231"/>
  <c r="AB231"/>
  <c r="Y231"/>
  <c r="X231"/>
  <c r="W231"/>
  <c r="AV231"/>
  <c r="V231"/>
  <c r="AS231"/>
  <c r="U231"/>
  <c r="S231"/>
  <c r="R231"/>
  <c r="Q231"/>
  <c r="P231"/>
  <c r="O231"/>
  <c r="N231"/>
  <c r="M231"/>
  <c r="L231"/>
  <c r="AR230"/>
  <c r="AQ230"/>
  <c r="AV230"/>
  <c r="AP230"/>
  <c r="AF230"/>
  <c r="AD230"/>
  <c r="AC230"/>
  <c r="AB230"/>
  <c r="Y230"/>
  <c r="AM230"/>
  <c r="X230"/>
  <c r="AL230"/>
  <c r="W230"/>
  <c r="V230"/>
  <c r="U230"/>
  <c r="S230"/>
  <c r="R230"/>
  <c r="Q230"/>
  <c r="AH230"/>
  <c r="P230"/>
  <c r="O230"/>
  <c r="N230"/>
  <c r="N224"/>
  <c r="M230"/>
  <c r="AE230"/>
  <c r="L230"/>
  <c r="AT229"/>
  <c r="AQ229"/>
  <c r="AP229"/>
  <c r="AD229"/>
  <c r="AC229"/>
  <c r="AH229"/>
  <c r="AB229"/>
  <c r="Y229"/>
  <c r="AM229"/>
  <c r="X229"/>
  <c r="AL229"/>
  <c r="W229"/>
  <c r="AK229"/>
  <c r="V229"/>
  <c r="U229"/>
  <c r="R229"/>
  <c r="Q229"/>
  <c r="P229"/>
  <c r="AG229"/>
  <c r="O229"/>
  <c r="N229"/>
  <c r="M229"/>
  <c r="AE229"/>
  <c r="L229"/>
  <c r="AQ228"/>
  <c r="AP228"/>
  <c r="AG228"/>
  <c r="AD228"/>
  <c r="AC228"/>
  <c r="AH228"/>
  <c r="AB228"/>
  <c r="Y228"/>
  <c r="X228"/>
  <c r="AL228"/>
  <c r="W228"/>
  <c r="AV228"/>
  <c r="V228"/>
  <c r="U228"/>
  <c r="R228"/>
  <c r="AR228"/>
  <c r="Q228"/>
  <c r="P228"/>
  <c r="O228"/>
  <c r="AF228"/>
  <c r="N228"/>
  <c r="L228"/>
  <c r="AR227"/>
  <c r="AQ227"/>
  <c r="AV227"/>
  <c r="AP227"/>
  <c r="AM227"/>
  <c r="AF227"/>
  <c r="AD227"/>
  <c r="AC227"/>
  <c r="AH227"/>
  <c r="AB227"/>
  <c r="Y227"/>
  <c r="X227"/>
  <c r="W227"/>
  <c r="AU227"/>
  <c r="V227"/>
  <c r="U227"/>
  <c r="S227"/>
  <c r="R227"/>
  <c r="Q227"/>
  <c r="AG227"/>
  <c r="P227"/>
  <c r="O227"/>
  <c r="N227"/>
  <c r="M227"/>
  <c r="AE227"/>
  <c r="L227"/>
  <c r="AV226"/>
  <c r="AQ226"/>
  <c r="AU226"/>
  <c r="AP226"/>
  <c r="AL226"/>
  <c r="AH226"/>
  <c r="AD226"/>
  <c r="AC226"/>
  <c r="AB226"/>
  <c r="AB224"/>
  <c r="Y226"/>
  <c r="Y224"/>
  <c r="X226"/>
  <c r="X224"/>
  <c r="W226"/>
  <c r="V226"/>
  <c r="AS226"/>
  <c r="U226"/>
  <c r="S226"/>
  <c r="R226"/>
  <c r="Q226"/>
  <c r="AG226"/>
  <c r="P226"/>
  <c r="P224"/>
  <c r="O226"/>
  <c r="O224"/>
  <c r="N226"/>
  <c r="M226"/>
  <c r="AE226"/>
  <c r="L226"/>
  <c r="L224"/>
  <c r="AP225"/>
  <c r="U225"/>
  <c r="AP224"/>
  <c r="AC224"/>
  <c r="AH224"/>
  <c r="U224"/>
  <c r="Q224"/>
  <c r="AP223"/>
  <c r="U223"/>
  <c r="AV222"/>
  <c r="AS222"/>
  <c r="AQ222"/>
  <c r="AP222"/>
  <c r="AG222"/>
  <c r="AD222"/>
  <c r="AC222"/>
  <c r="AH222"/>
  <c r="AB222"/>
  <c r="Y222"/>
  <c r="X222"/>
  <c r="AL222"/>
  <c r="W222"/>
  <c r="AU222"/>
  <c r="V222"/>
  <c r="U222"/>
  <c r="R222"/>
  <c r="AR222"/>
  <c r="Q222"/>
  <c r="P222"/>
  <c r="O222"/>
  <c r="AF222"/>
  <c r="N222"/>
  <c r="M222"/>
  <c r="L222"/>
  <c r="AR221"/>
  <c r="AQ221"/>
  <c r="AV221"/>
  <c r="AP221"/>
  <c r="AM221"/>
  <c r="AF221"/>
  <c r="AD221"/>
  <c r="AC221"/>
  <c r="AB221"/>
  <c r="Y221"/>
  <c r="X221"/>
  <c r="W221"/>
  <c r="AU221"/>
  <c r="V221"/>
  <c r="U221"/>
  <c r="S221"/>
  <c r="R221"/>
  <c r="Q221"/>
  <c r="AG221"/>
  <c r="P221"/>
  <c r="O221"/>
  <c r="N221"/>
  <c r="M221"/>
  <c r="AE221"/>
  <c r="L221"/>
  <c r="AV220"/>
  <c r="AQ220"/>
  <c r="AQ218"/>
  <c r="AP220"/>
  <c r="AL220"/>
  <c r="AH220"/>
  <c r="AD220"/>
  <c r="AC220"/>
  <c r="AB220"/>
  <c r="AB218"/>
  <c r="Y220"/>
  <c r="AM220"/>
  <c r="X220"/>
  <c r="W220"/>
  <c r="V220"/>
  <c r="AS220"/>
  <c r="U220"/>
  <c r="S220"/>
  <c r="R220"/>
  <c r="Q220"/>
  <c r="AG220"/>
  <c r="P220"/>
  <c r="AF220"/>
  <c r="O220"/>
  <c r="N220"/>
  <c r="M220"/>
  <c r="M218"/>
  <c r="L220"/>
  <c r="AU219"/>
  <c r="AT219"/>
  <c r="AS219"/>
  <c r="AR219"/>
  <c r="AQ219"/>
  <c r="AV219"/>
  <c r="AP219"/>
  <c r="AK219"/>
  <c r="AD219"/>
  <c r="AD218"/>
  <c r="AC219"/>
  <c r="AH219"/>
  <c r="AB219"/>
  <c r="Y219"/>
  <c r="X219"/>
  <c r="AM219"/>
  <c r="W219"/>
  <c r="V219"/>
  <c r="U219"/>
  <c r="S219"/>
  <c r="R219"/>
  <c r="Q219"/>
  <c r="P219"/>
  <c r="AF219"/>
  <c r="O219"/>
  <c r="AE219"/>
  <c r="N219"/>
  <c r="M219"/>
  <c r="L219"/>
  <c r="L218"/>
  <c r="AP218"/>
  <c r="Y218"/>
  <c r="W218"/>
  <c r="U218"/>
  <c r="P218"/>
  <c r="N218"/>
  <c r="N216"/>
  <c r="AP217"/>
  <c r="U217"/>
  <c r="AP216"/>
  <c r="U216"/>
  <c r="AP215"/>
  <c r="U215"/>
  <c r="AV214"/>
  <c r="AQ214"/>
  <c r="AQ212"/>
  <c r="AP214"/>
  <c r="AL214"/>
  <c r="AH214"/>
  <c r="AD214"/>
  <c r="AC214"/>
  <c r="AB214"/>
  <c r="AB212"/>
  <c r="Y214"/>
  <c r="AM214"/>
  <c r="X214"/>
  <c r="W214"/>
  <c r="V214"/>
  <c r="AS214"/>
  <c r="U214"/>
  <c r="R214"/>
  <c r="Q214"/>
  <c r="AG214"/>
  <c r="P214"/>
  <c r="AF214"/>
  <c r="O214"/>
  <c r="N214"/>
  <c r="M214"/>
  <c r="M212"/>
  <c r="L214"/>
  <c r="AU213"/>
  <c r="AS213"/>
  <c r="AR213"/>
  <c r="AQ213"/>
  <c r="AV213"/>
  <c r="AP213"/>
  <c r="AK213"/>
  <c r="AD213"/>
  <c r="AD212"/>
  <c r="AC213"/>
  <c r="AH213"/>
  <c r="AB213"/>
  <c r="Y213"/>
  <c r="X213"/>
  <c r="AM213"/>
  <c r="W213"/>
  <c r="AT213"/>
  <c r="V213"/>
  <c r="U213"/>
  <c r="R213"/>
  <c r="Q213"/>
  <c r="P213"/>
  <c r="AF213"/>
  <c r="O213"/>
  <c r="AE213"/>
  <c r="N213"/>
  <c r="M213"/>
  <c r="L213"/>
  <c r="L212"/>
  <c r="AP212"/>
  <c r="AC212"/>
  <c r="Y212"/>
  <c r="W212"/>
  <c r="U212"/>
  <c r="P212"/>
  <c r="N212"/>
  <c r="AP211"/>
  <c r="U211"/>
  <c r="AU210"/>
  <c r="AS210"/>
  <c r="AQ210"/>
  <c r="AV210"/>
  <c r="AP210"/>
  <c r="AK210"/>
  <c r="AD210"/>
  <c r="AD209"/>
  <c r="AC210"/>
  <c r="AB210"/>
  <c r="Y210"/>
  <c r="X210"/>
  <c r="AM210"/>
  <c r="W210"/>
  <c r="AT210"/>
  <c r="V210"/>
  <c r="AR210"/>
  <c r="U210"/>
  <c r="R210"/>
  <c r="Q210"/>
  <c r="P210"/>
  <c r="AF210"/>
  <c r="O210"/>
  <c r="AE210"/>
  <c r="N210"/>
  <c r="M210"/>
  <c r="L210"/>
  <c r="L209"/>
  <c r="AT209"/>
  <c r="AR209"/>
  <c r="AQ209"/>
  <c r="AU209"/>
  <c r="AP209"/>
  <c r="AC209"/>
  <c r="AB209"/>
  <c r="Y209"/>
  <c r="W209"/>
  <c r="AV209"/>
  <c r="V209"/>
  <c r="U209"/>
  <c r="R209"/>
  <c r="P209"/>
  <c r="N209"/>
  <c r="M209"/>
  <c r="AP208"/>
  <c r="U208"/>
  <c r="AQ207"/>
  <c r="AP207"/>
  <c r="AH207"/>
  <c r="AD207"/>
  <c r="AC207"/>
  <c r="AB207"/>
  <c r="AB205"/>
  <c r="AB203"/>
  <c r="Y207"/>
  <c r="AM207"/>
  <c r="X207"/>
  <c r="W207"/>
  <c r="V207"/>
  <c r="V205"/>
  <c r="U207"/>
  <c r="R207"/>
  <c r="R205"/>
  <c r="AT205"/>
  <c r="Q207"/>
  <c r="AG207"/>
  <c r="P207"/>
  <c r="AF207"/>
  <c r="O207"/>
  <c r="N207"/>
  <c r="M207"/>
  <c r="M205"/>
  <c r="M203"/>
  <c r="L207"/>
  <c r="AU206"/>
  <c r="AS206"/>
  <c r="AQ206"/>
  <c r="AV206"/>
  <c r="AP206"/>
  <c r="AK206"/>
  <c r="AD206"/>
  <c r="AD205"/>
  <c r="AC206"/>
  <c r="AH206"/>
  <c r="AB206"/>
  <c r="Y206"/>
  <c r="X206"/>
  <c r="AM206"/>
  <c r="W206"/>
  <c r="AT206"/>
  <c r="V206"/>
  <c r="AR206"/>
  <c r="U206"/>
  <c r="R206"/>
  <c r="Q206"/>
  <c r="P206"/>
  <c r="AF206"/>
  <c r="O206"/>
  <c r="AE206"/>
  <c r="N206"/>
  <c r="M206"/>
  <c r="L206"/>
  <c r="L205"/>
  <c r="AQ205"/>
  <c r="AU205"/>
  <c r="AP205"/>
  <c r="AC205"/>
  <c r="AC203"/>
  <c r="Y205"/>
  <c r="W205"/>
  <c r="W203"/>
  <c r="U205"/>
  <c r="P205"/>
  <c r="N205"/>
  <c r="N203"/>
  <c r="N201"/>
  <c r="AP204"/>
  <c r="U204"/>
  <c r="AP203"/>
  <c r="U203"/>
  <c r="AP202"/>
  <c r="U202"/>
  <c r="AP201"/>
  <c r="U201"/>
  <c r="U14"/>
  <c r="AP200"/>
  <c r="U200"/>
  <c r="AP199"/>
  <c r="U199"/>
  <c r="AP198"/>
  <c r="U198"/>
  <c r="AP196"/>
  <c r="U196"/>
  <c r="AP195"/>
  <c r="U195"/>
  <c r="AP194"/>
  <c r="U194"/>
  <c r="AP193"/>
  <c r="U193"/>
  <c r="AP192"/>
  <c r="AO192"/>
  <c r="AN192"/>
  <c r="U192"/>
  <c r="AP191"/>
  <c r="AO191"/>
  <c r="AN191"/>
  <c r="AD191"/>
  <c r="AC191"/>
  <c r="U191"/>
  <c r="Q191"/>
  <c r="P191"/>
  <c r="O191"/>
  <c r="N191"/>
  <c r="M191"/>
  <c r="L191"/>
  <c r="AP190"/>
  <c r="AO190"/>
  <c r="AN190"/>
  <c r="AE190"/>
  <c r="U190"/>
  <c r="M190"/>
  <c r="AP189"/>
  <c r="AO189"/>
  <c r="AN189"/>
  <c r="AD189"/>
  <c r="AC189"/>
  <c r="AC184"/>
  <c r="AC182"/>
  <c r="AC173"/>
  <c r="U189"/>
  <c r="Q189"/>
  <c r="P189"/>
  <c r="O189"/>
  <c r="AE189"/>
  <c r="N189"/>
  <c r="M189"/>
  <c r="L189"/>
  <c r="AP188"/>
  <c r="AO188"/>
  <c r="AN188"/>
  <c r="U188"/>
  <c r="AV187"/>
  <c r="AU187"/>
  <c r="AT187"/>
  <c r="AS187"/>
  <c r="AR187"/>
  <c r="AP187"/>
  <c r="AO187"/>
  <c r="AN187"/>
  <c r="AM187"/>
  <c r="AL187"/>
  <c r="AK187"/>
  <c r="AH187"/>
  <c r="AG187"/>
  <c r="AF187"/>
  <c r="U187"/>
  <c r="O187"/>
  <c r="M187"/>
  <c r="M186"/>
  <c r="M184"/>
  <c r="AT186"/>
  <c r="AQ186"/>
  <c r="AP186"/>
  <c r="AO186"/>
  <c r="AN186"/>
  <c r="AL186"/>
  <c r="AK186"/>
  <c r="AD186"/>
  <c r="AD184"/>
  <c r="AD182"/>
  <c r="AC186"/>
  <c r="Y186"/>
  <c r="AM186"/>
  <c r="X186"/>
  <c r="W186"/>
  <c r="V186"/>
  <c r="V184"/>
  <c r="U186"/>
  <c r="Q186"/>
  <c r="P186"/>
  <c r="P184"/>
  <c r="P182"/>
  <c r="O186"/>
  <c r="AE186"/>
  <c r="N186"/>
  <c r="L186"/>
  <c r="AP185"/>
  <c r="AO185"/>
  <c r="AN185"/>
  <c r="U185"/>
  <c r="AP184"/>
  <c r="AO184"/>
  <c r="AN184"/>
  <c r="Y184"/>
  <c r="X184"/>
  <c r="AL184"/>
  <c r="W184"/>
  <c r="AT184"/>
  <c r="U184"/>
  <c r="Q184"/>
  <c r="Q182"/>
  <c r="O184"/>
  <c r="N184"/>
  <c r="N182"/>
  <c r="L184"/>
  <c r="AP183"/>
  <c r="AO183"/>
  <c r="AN183"/>
  <c r="U183"/>
  <c r="AP182"/>
  <c r="AO182"/>
  <c r="AN182"/>
  <c r="X182"/>
  <c r="AL182"/>
  <c r="W182"/>
  <c r="U182"/>
  <c r="O182"/>
  <c r="L182"/>
  <c r="AU181"/>
  <c r="AP181"/>
  <c r="AO181"/>
  <c r="AN181"/>
  <c r="AL181"/>
  <c r="U181"/>
  <c r="AP180"/>
  <c r="AO180"/>
  <c r="AN180"/>
  <c r="U180"/>
  <c r="AV179"/>
  <c r="AT179"/>
  <c r="AS179"/>
  <c r="AR179"/>
  <c r="AP179"/>
  <c r="AO179"/>
  <c r="AN179"/>
  <c r="AK179"/>
  <c r="U179"/>
  <c r="M179"/>
  <c r="AE179"/>
  <c r="AV178"/>
  <c r="AT178"/>
  <c r="AR178"/>
  <c r="AQ178"/>
  <c r="AU178"/>
  <c r="AP178"/>
  <c r="AO178"/>
  <c r="AN178"/>
  <c r="AK178"/>
  <c r="AD178"/>
  <c r="AD177"/>
  <c r="AC178"/>
  <c r="Y178"/>
  <c r="X178"/>
  <c r="X177"/>
  <c r="X175"/>
  <c r="W178"/>
  <c r="W177"/>
  <c r="AU177"/>
  <c r="V178"/>
  <c r="U178"/>
  <c r="Q178"/>
  <c r="P178"/>
  <c r="P177"/>
  <c r="O178"/>
  <c r="AE178"/>
  <c r="N178"/>
  <c r="M178"/>
  <c r="M177"/>
  <c r="L178"/>
  <c r="L177"/>
  <c r="L175"/>
  <c r="L173"/>
  <c r="L12"/>
  <c r="AQ177"/>
  <c r="AV177"/>
  <c r="AP177"/>
  <c r="AO177"/>
  <c r="AN177"/>
  <c r="AC177"/>
  <c r="Y177"/>
  <c r="V177"/>
  <c r="U177"/>
  <c r="Q177"/>
  <c r="Q175"/>
  <c r="Q173"/>
  <c r="O177"/>
  <c r="N177"/>
  <c r="AP176"/>
  <c r="AO176"/>
  <c r="AN176"/>
  <c r="U176"/>
  <c r="AQ175"/>
  <c r="AV175"/>
  <c r="AP175"/>
  <c r="AO175"/>
  <c r="AN175"/>
  <c r="AD175"/>
  <c r="AD173"/>
  <c r="AC175"/>
  <c r="Y175"/>
  <c r="U175"/>
  <c r="P175"/>
  <c r="P173"/>
  <c r="O175"/>
  <c r="N175"/>
  <c r="AP174"/>
  <c r="AO174"/>
  <c r="AN174"/>
  <c r="U174"/>
  <c r="AP173"/>
  <c r="AO173"/>
  <c r="AN173"/>
  <c r="U173"/>
  <c r="O173"/>
  <c r="N173"/>
  <c r="N12"/>
  <c r="AP172"/>
  <c r="AO172"/>
  <c r="AN172"/>
  <c r="U172"/>
  <c r="AV171"/>
  <c r="AU171"/>
  <c r="AT171"/>
  <c r="AS171"/>
  <c r="AR171"/>
  <c r="AP171"/>
  <c r="AO171"/>
  <c r="AN171"/>
  <c r="AM171"/>
  <c r="AL171"/>
  <c r="AK171"/>
  <c r="AH171"/>
  <c r="AG171"/>
  <c r="U171"/>
  <c r="O171"/>
  <c r="AF171"/>
  <c r="M171"/>
  <c r="AR170"/>
  <c r="AQ170"/>
  <c r="AV170"/>
  <c r="AP170"/>
  <c r="AO170"/>
  <c r="AN170"/>
  <c r="AM170"/>
  <c r="AD170"/>
  <c r="AC170"/>
  <c r="Y170"/>
  <c r="X170"/>
  <c r="AL170"/>
  <c r="W170"/>
  <c r="AU170"/>
  <c r="V170"/>
  <c r="U170"/>
  <c r="Q170"/>
  <c r="P170"/>
  <c r="O170"/>
  <c r="AF170"/>
  <c r="N170"/>
  <c r="L170"/>
  <c r="AP168"/>
  <c r="AO168"/>
  <c r="AN168"/>
  <c r="U168"/>
  <c r="AV167"/>
  <c r="AU167"/>
  <c r="AT167"/>
  <c r="AS167"/>
  <c r="AR167"/>
  <c r="AP167"/>
  <c r="AO167"/>
  <c r="AN167"/>
  <c r="AM167"/>
  <c r="AL167"/>
  <c r="AK167"/>
  <c r="AH167"/>
  <c r="AG167"/>
  <c r="AE167"/>
  <c r="U167"/>
  <c r="O167"/>
  <c r="AF167"/>
  <c r="M167"/>
  <c r="AR166"/>
  <c r="AQ166"/>
  <c r="AV166"/>
  <c r="AP166"/>
  <c r="AO166"/>
  <c r="AN166"/>
  <c r="AM166"/>
  <c r="AH166"/>
  <c r="AD166"/>
  <c r="AC166"/>
  <c r="AC164"/>
  <c r="Y166"/>
  <c r="X166"/>
  <c r="W166"/>
  <c r="V166"/>
  <c r="U166"/>
  <c r="Q166"/>
  <c r="AG166"/>
  <c r="P166"/>
  <c r="O166"/>
  <c r="AF166"/>
  <c r="N166"/>
  <c r="M166"/>
  <c r="L166"/>
  <c r="L164"/>
  <c r="AP165"/>
  <c r="AO165"/>
  <c r="AN165"/>
  <c r="U165"/>
  <c r="AQ164"/>
  <c r="AV164"/>
  <c r="AP164"/>
  <c r="AO164"/>
  <c r="AN164"/>
  <c r="AD164"/>
  <c r="Y164"/>
  <c r="X164"/>
  <c r="V164"/>
  <c r="AR164"/>
  <c r="U164"/>
  <c r="P164"/>
  <c r="N164"/>
  <c r="AP163"/>
  <c r="AO163"/>
  <c r="AN163"/>
  <c r="U163"/>
  <c r="AU162"/>
  <c r="AS162"/>
  <c r="AP162"/>
  <c r="AO162"/>
  <c r="AN162"/>
  <c r="AL162"/>
  <c r="U162"/>
  <c r="O162"/>
  <c r="AE162"/>
  <c r="M162"/>
  <c r="AP161"/>
  <c r="AO161"/>
  <c r="AN161"/>
  <c r="AG161"/>
  <c r="U161"/>
  <c r="O161"/>
  <c r="AF161"/>
  <c r="M161"/>
  <c r="AQ160"/>
  <c r="AU160"/>
  <c r="AP160"/>
  <c r="AO160"/>
  <c r="AN160"/>
  <c r="AG160"/>
  <c r="AD160"/>
  <c r="AC160"/>
  <c r="Y160"/>
  <c r="Y157"/>
  <c r="X160"/>
  <c r="AL160"/>
  <c r="W160"/>
  <c r="V160"/>
  <c r="U160"/>
  <c r="Q160"/>
  <c r="Q157"/>
  <c r="AG157"/>
  <c r="P160"/>
  <c r="AF160"/>
  <c r="O160"/>
  <c r="N160"/>
  <c r="N157"/>
  <c r="L160"/>
  <c r="AP159"/>
  <c r="AO159"/>
  <c r="AN159"/>
  <c r="U159"/>
  <c r="AP158"/>
  <c r="AO158"/>
  <c r="AN158"/>
  <c r="U158"/>
  <c r="AU157"/>
  <c r="AQ157"/>
  <c r="AP157"/>
  <c r="AO157"/>
  <c r="AN157"/>
  <c r="AF157"/>
  <c r="AD157"/>
  <c r="AC157"/>
  <c r="X157"/>
  <c r="AL157"/>
  <c r="W157"/>
  <c r="U157"/>
  <c r="P157"/>
  <c r="O157"/>
  <c r="L157"/>
  <c r="AP156"/>
  <c r="AO156"/>
  <c r="AN156"/>
  <c r="U156"/>
  <c r="AV155"/>
  <c r="AU155"/>
  <c r="AT155"/>
  <c r="AS155"/>
  <c r="AR155"/>
  <c r="AP155"/>
  <c r="AO155"/>
  <c r="AN155"/>
  <c r="AM155"/>
  <c r="AL155"/>
  <c r="AK155"/>
  <c r="AH155"/>
  <c r="AG155"/>
  <c r="AF155"/>
  <c r="U155"/>
  <c r="O155"/>
  <c r="AE155"/>
  <c r="M155"/>
  <c r="AV154"/>
  <c r="AU154"/>
  <c r="AT154"/>
  <c r="AS154"/>
  <c r="AR154"/>
  <c r="AP154"/>
  <c r="AO154"/>
  <c r="AN154"/>
  <c r="AM154"/>
  <c r="AL154"/>
  <c r="AK154"/>
  <c r="AH154"/>
  <c r="AG154"/>
  <c r="AF154"/>
  <c r="U154"/>
  <c r="O154"/>
  <c r="AE154"/>
  <c r="M154"/>
  <c r="AU153"/>
  <c r="AS153"/>
  <c r="AQ153"/>
  <c r="AV153"/>
  <c r="AP153"/>
  <c r="AO153"/>
  <c r="AN153"/>
  <c r="AM153"/>
  <c r="AK153"/>
  <c r="AD153"/>
  <c r="AC153"/>
  <c r="AH153"/>
  <c r="Y153"/>
  <c r="X153"/>
  <c r="AL153"/>
  <c r="W153"/>
  <c r="AT153"/>
  <c r="V153"/>
  <c r="AR153"/>
  <c r="U153"/>
  <c r="Q153"/>
  <c r="AG153"/>
  <c r="P153"/>
  <c r="O153"/>
  <c r="N153"/>
  <c r="M153"/>
  <c r="L153"/>
  <c r="AP152"/>
  <c r="AO152"/>
  <c r="AN152"/>
  <c r="U152"/>
  <c r="AV151"/>
  <c r="AU151"/>
  <c r="AT151"/>
  <c r="AS151"/>
  <c r="AR151"/>
  <c r="AP151"/>
  <c r="AO151"/>
  <c r="AN151"/>
  <c r="AM151"/>
  <c r="AL151"/>
  <c r="AK151"/>
  <c r="AH151"/>
  <c r="AG151"/>
  <c r="U151"/>
  <c r="O151"/>
  <c r="M151"/>
  <c r="AP150"/>
  <c r="AO150"/>
  <c r="AN150"/>
  <c r="U150"/>
  <c r="AP149"/>
  <c r="AO149"/>
  <c r="AN149"/>
  <c r="U149"/>
  <c r="AV148"/>
  <c r="AU148"/>
  <c r="AT148"/>
  <c r="AS148"/>
  <c r="AR148"/>
  <c r="AP148"/>
  <c r="AO148"/>
  <c r="AN148"/>
  <c r="AM148"/>
  <c r="AL148"/>
  <c r="AK148"/>
  <c r="AH148"/>
  <c r="AG148"/>
  <c r="AE148"/>
  <c r="U148"/>
  <c r="O148"/>
  <c r="AF148"/>
  <c r="M148"/>
  <c r="AV147"/>
  <c r="AR147"/>
  <c r="AQ147"/>
  <c r="AP147"/>
  <c r="AO147"/>
  <c r="AN147"/>
  <c r="AM147"/>
  <c r="AH147"/>
  <c r="AD147"/>
  <c r="AC147"/>
  <c r="Y147"/>
  <c r="X147"/>
  <c r="W147"/>
  <c r="V147"/>
  <c r="U147"/>
  <c r="Q147"/>
  <c r="AG147"/>
  <c r="P147"/>
  <c r="AF147"/>
  <c r="O147"/>
  <c r="AE147"/>
  <c r="N147"/>
  <c r="M147"/>
  <c r="L147"/>
  <c r="L145"/>
  <c r="L134"/>
  <c r="AP146"/>
  <c r="AO146"/>
  <c r="AN146"/>
  <c r="U146"/>
  <c r="AQ145"/>
  <c r="AV145"/>
  <c r="AP145"/>
  <c r="AO145"/>
  <c r="AN145"/>
  <c r="AD145"/>
  <c r="AC145"/>
  <c r="AH145"/>
  <c r="Y145"/>
  <c r="X145"/>
  <c r="V145"/>
  <c r="AR145"/>
  <c r="U145"/>
  <c r="Q145"/>
  <c r="AG145"/>
  <c r="P145"/>
  <c r="N145"/>
  <c r="M145"/>
  <c r="AU144"/>
  <c r="AP144"/>
  <c r="AO144"/>
  <c r="AN144"/>
  <c r="AM144"/>
  <c r="AL144"/>
  <c r="U144"/>
  <c r="AV143"/>
  <c r="AU143"/>
  <c r="AT143"/>
  <c r="AS143"/>
  <c r="AR143"/>
  <c r="AP143"/>
  <c r="AO143"/>
  <c r="AN143"/>
  <c r="AM143"/>
  <c r="AL143"/>
  <c r="AK143"/>
  <c r="AH143"/>
  <c r="AG143"/>
  <c r="AF143"/>
  <c r="U143"/>
  <c r="O143"/>
  <c r="M143"/>
  <c r="AE143"/>
  <c r="AV142"/>
  <c r="AU142"/>
  <c r="AT142"/>
  <c r="AS142"/>
  <c r="AR142"/>
  <c r="AP142"/>
  <c r="AO142"/>
  <c r="AN142"/>
  <c r="AM142"/>
  <c r="AL142"/>
  <c r="AK142"/>
  <c r="AH142"/>
  <c r="AG142"/>
  <c r="AF142"/>
  <c r="U142"/>
  <c r="O142"/>
  <c r="AE142"/>
  <c r="M142"/>
  <c r="AS141"/>
  <c r="AQ141"/>
  <c r="AV141"/>
  <c r="AP141"/>
  <c r="AO141"/>
  <c r="AN141"/>
  <c r="AK141"/>
  <c r="AD141"/>
  <c r="AC141"/>
  <c r="AH141"/>
  <c r="Y141"/>
  <c r="AM141"/>
  <c r="X141"/>
  <c r="AL141"/>
  <c r="W141"/>
  <c r="AT141"/>
  <c r="V141"/>
  <c r="AR141"/>
  <c r="U141"/>
  <c r="Q141"/>
  <c r="AG141"/>
  <c r="P141"/>
  <c r="AF141"/>
  <c r="O141"/>
  <c r="N141"/>
  <c r="M141"/>
  <c r="AE141"/>
  <c r="L141"/>
  <c r="AP140"/>
  <c r="AO140"/>
  <c r="AN140"/>
  <c r="AE140"/>
  <c r="U140"/>
  <c r="AV139"/>
  <c r="AU139"/>
  <c r="AT139"/>
  <c r="AS139"/>
  <c r="AR139"/>
  <c r="AP139"/>
  <c r="AO139"/>
  <c r="AN139"/>
  <c r="AL139"/>
  <c r="AK139"/>
  <c r="AH139"/>
  <c r="AG139"/>
  <c r="AF139"/>
  <c r="AE139"/>
  <c r="U139"/>
  <c r="O139"/>
  <c r="M139"/>
  <c r="AV138"/>
  <c r="AT138"/>
  <c r="AQ138"/>
  <c r="AU138"/>
  <c r="AP138"/>
  <c r="AO138"/>
  <c r="AN138"/>
  <c r="AK138"/>
  <c r="AG138"/>
  <c r="AD138"/>
  <c r="AC138"/>
  <c r="Y138"/>
  <c r="X138"/>
  <c r="X136"/>
  <c r="W138"/>
  <c r="AS138"/>
  <c r="V138"/>
  <c r="AR138"/>
  <c r="U138"/>
  <c r="Q138"/>
  <c r="P138"/>
  <c r="O138"/>
  <c r="N138"/>
  <c r="M138"/>
  <c r="M136"/>
  <c r="L138"/>
  <c r="AP137"/>
  <c r="AO137"/>
  <c r="AN137"/>
  <c r="U137"/>
  <c r="AV136"/>
  <c r="AQ136"/>
  <c r="AU136"/>
  <c r="AP136"/>
  <c r="AO136"/>
  <c r="AN136"/>
  <c r="AD136"/>
  <c r="AD134"/>
  <c r="Y136"/>
  <c r="Y134"/>
  <c r="W136"/>
  <c r="AT136"/>
  <c r="V136"/>
  <c r="AR136"/>
  <c r="U136"/>
  <c r="Q136"/>
  <c r="P136"/>
  <c r="N136"/>
  <c r="N134"/>
  <c r="L136"/>
  <c r="AP135"/>
  <c r="AO135"/>
  <c r="AN135"/>
  <c r="U135"/>
  <c r="AQ134"/>
  <c r="AP134"/>
  <c r="AO134"/>
  <c r="AN134"/>
  <c r="V134"/>
  <c r="AR134"/>
  <c r="U134"/>
  <c r="Q134"/>
  <c r="AP133"/>
  <c r="AO133"/>
  <c r="AN133"/>
  <c r="U133"/>
  <c r="AV132"/>
  <c r="AU132"/>
  <c r="AT132"/>
  <c r="AS132"/>
  <c r="AR132"/>
  <c r="AP132"/>
  <c r="AO132"/>
  <c r="AN132"/>
  <c r="AL132"/>
  <c r="AK132"/>
  <c r="AH132"/>
  <c r="AG132"/>
  <c r="AF132"/>
  <c r="AE132"/>
  <c r="U132"/>
  <c r="O132"/>
  <c r="M132"/>
  <c r="AQ131"/>
  <c r="AP131"/>
  <c r="AO131"/>
  <c r="AN131"/>
  <c r="AH131"/>
  <c r="AG131"/>
  <c r="AF131"/>
  <c r="AD131"/>
  <c r="AC131"/>
  <c r="Y131"/>
  <c r="X131"/>
  <c r="AL131"/>
  <c r="W131"/>
  <c r="AT131"/>
  <c r="V131"/>
  <c r="AR131"/>
  <c r="U131"/>
  <c r="Q131"/>
  <c r="P131"/>
  <c r="O131"/>
  <c r="AE131"/>
  <c r="N131"/>
  <c r="M131"/>
  <c r="L131"/>
  <c r="AV130"/>
  <c r="AT130"/>
  <c r="AS130"/>
  <c r="AR130"/>
  <c r="AP130"/>
  <c r="AO130"/>
  <c r="AN130"/>
  <c r="AK130"/>
  <c r="U130"/>
  <c r="AP129"/>
  <c r="AO129"/>
  <c r="AN129"/>
  <c r="U129"/>
  <c r="AV128"/>
  <c r="AU128"/>
  <c r="AT128"/>
  <c r="AS128"/>
  <c r="AR128"/>
  <c r="AP128"/>
  <c r="AO128"/>
  <c r="AN128"/>
  <c r="AM128"/>
  <c r="AL128"/>
  <c r="AK128"/>
  <c r="AH128"/>
  <c r="AG128"/>
  <c r="U128"/>
  <c r="O128"/>
  <c r="AE128"/>
  <c r="M128"/>
  <c r="AU127"/>
  <c r="AP127"/>
  <c r="AO127"/>
  <c r="AN127"/>
  <c r="AL127"/>
  <c r="U127"/>
  <c r="O127"/>
  <c r="AE127"/>
  <c r="M127"/>
  <c r="AP126"/>
  <c r="AO126"/>
  <c r="AN126"/>
  <c r="U126"/>
  <c r="AQ125"/>
  <c r="AP125"/>
  <c r="AO125"/>
  <c r="AN125"/>
  <c r="AG125"/>
  <c r="AD125"/>
  <c r="AC125"/>
  <c r="AH125"/>
  <c r="Y125"/>
  <c r="AM125"/>
  <c r="X125"/>
  <c r="AL125"/>
  <c r="W125"/>
  <c r="AT125"/>
  <c r="V125"/>
  <c r="U125"/>
  <c r="Q125"/>
  <c r="P125"/>
  <c r="AF125"/>
  <c r="O125"/>
  <c r="AE125"/>
  <c r="N125"/>
  <c r="M125"/>
  <c r="L125"/>
  <c r="AP124"/>
  <c r="AO124"/>
  <c r="AN124"/>
  <c r="U124"/>
  <c r="AV123"/>
  <c r="AU123"/>
  <c r="AT123"/>
  <c r="AS123"/>
  <c r="AR123"/>
  <c r="AP123"/>
  <c r="AO123"/>
  <c r="AN123"/>
  <c r="AM123"/>
  <c r="AL123"/>
  <c r="AK123"/>
  <c r="AH123"/>
  <c r="AG123"/>
  <c r="U123"/>
  <c r="O123"/>
  <c r="AE123"/>
  <c r="M123"/>
  <c r="AV122"/>
  <c r="AU122"/>
  <c r="AT122"/>
  <c r="AS122"/>
  <c r="AR122"/>
  <c r="AP122"/>
  <c r="AO122"/>
  <c r="AN122"/>
  <c r="AM122"/>
  <c r="AL122"/>
  <c r="AK122"/>
  <c r="AH122"/>
  <c r="AG122"/>
  <c r="AE122"/>
  <c r="U122"/>
  <c r="O122"/>
  <c r="AF122"/>
  <c r="M122"/>
  <c r="AV121"/>
  <c r="AU121"/>
  <c r="AT121"/>
  <c r="AS121"/>
  <c r="AR121"/>
  <c r="AP121"/>
  <c r="AO121"/>
  <c r="AN121"/>
  <c r="AM121"/>
  <c r="AL121"/>
  <c r="AK121"/>
  <c r="AH121"/>
  <c r="AG121"/>
  <c r="U121"/>
  <c r="O121"/>
  <c r="M121"/>
  <c r="AV120"/>
  <c r="AU120"/>
  <c r="AT120"/>
  <c r="AS120"/>
  <c r="AR120"/>
  <c r="AP120"/>
  <c r="AO120"/>
  <c r="AN120"/>
  <c r="AM120"/>
  <c r="AL120"/>
  <c r="AK120"/>
  <c r="AH120"/>
  <c r="AG120"/>
  <c r="AF120"/>
  <c r="AE120"/>
  <c r="U120"/>
  <c r="O120"/>
  <c r="M120"/>
  <c r="AV119"/>
  <c r="AR119"/>
  <c r="AQ119"/>
  <c r="AP119"/>
  <c r="AO119"/>
  <c r="AN119"/>
  <c r="AH119"/>
  <c r="AD119"/>
  <c r="AC119"/>
  <c r="Y119"/>
  <c r="AM119"/>
  <c r="X119"/>
  <c r="W119"/>
  <c r="V119"/>
  <c r="U119"/>
  <c r="Q119"/>
  <c r="AG119"/>
  <c r="P119"/>
  <c r="N119"/>
  <c r="M119"/>
  <c r="L119"/>
  <c r="AP118"/>
  <c r="AO118"/>
  <c r="AN118"/>
  <c r="U118"/>
  <c r="AP117"/>
  <c r="AO117"/>
  <c r="AN117"/>
  <c r="U117"/>
  <c r="O117"/>
  <c r="AV116"/>
  <c r="AU116"/>
  <c r="AT116"/>
  <c r="AS116"/>
  <c r="AR116"/>
  <c r="AP116"/>
  <c r="AO116"/>
  <c r="AN116"/>
  <c r="AM116"/>
  <c r="AL116"/>
  <c r="AK116"/>
  <c r="AH116"/>
  <c r="AG116"/>
  <c r="AF116"/>
  <c r="AE116"/>
  <c r="U116"/>
  <c r="O116"/>
  <c r="M116"/>
  <c r="AV115"/>
  <c r="AR115"/>
  <c r="AQ115"/>
  <c r="AP115"/>
  <c r="AO115"/>
  <c r="AN115"/>
  <c r="AH115"/>
  <c r="AD115"/>
  <c r="AD114"/>
  <c r="AD103"/>
  <c r="AC115"/>
  <c r="Y115"/>
  <c r="AM115"/>
  <c r="X115"/>
  <c r="W115"/>
  <c r="V115"/>
  <c r="U115"/>
  <c r="Q115"/>
  <c r="AG115"/>
  <c r="P115"/>
  <c r="AF115"/>
  <c r="O115"/>
  <c r="AE115"/>
  <c r="N115"/>
  <c r="M115"/>
  <c r="L115"/>
  <c r="L114"/>
  <c r="L103"/>
  <c r="AP114"/>
  <c r="AO114"/>
  <c r="AN114"/>
  <c r="AC114"/>
  <c r="AH114"/>
  <c r="Y114"/>
  <c r="AM114"/>
  <c r="X114"/>
  <c r="U114"/>
  <c r="Q114"/>
  <c r="P114"/>
  <c r="N114"/>
  <c r="M114"/>
  <c r="AP113"/>
  <c r="AO113"/>
  <c r="AN113"/>
  <c r="U113"/>
  <c r="AP112"/>
  <c r="AO112"/>
  <c r="AN112"/>
  <c r="U112"/>
  <c r="AP111"/>
  <c r="AO111"/>
  <c r="AN111"/>
  <c r="AD111"/>
  <c r="AC111"/>
  <c r="U111"/>
  <c r="Q111"/>
  <c r="P111"/>
  <c r="O111"/>
  <c r="N111"/>
  <c r="M111"/>
  <c r="L111"/>
  <c r="AP110"/>
  <c r="AO110"/>
  <c r="AN110"/>
  <c r="U110"/>
  <c r="AV109"/>
  <c r="AT109"/>
  <c r="AS109"/>
  <c r="AR109"/>
  <c r="AP109"/>
  <c r="AO109"/>
  <c r="AN109"/>
  <c r="AK109"/>
  <c r="AH109"/>
  <c r="AG109"/>
  <c r="U109"/>
  <c r="O109"/>
  <c r="M109"/>
  <c r="AP108"/>
  <c r="AO108"/>
  <c r="AN108"/>
  <c r="U108"/>
  <c r="AV107"/>
  <c r="AU107"/>
  <c r="AT107"/>
  <c r="AS107"/>
  <c r="AR107"/>
  <c r="AP107"/>
  <c r="AO107"/>
  <c r="AN107"/>
  <c r="AL107"/>
  <c r="AK107"/>
  <c r="AH107"/>
  <c r="AG107"/>
  <c r="U107"/>
  <c r="O107"/>
  <c r="M107"/>
  <c r="AT106"/>
  <c r="AQ106"/>
  <c r="AV106"/>
  <c r="AP106"/>
  <c r="AO106"/>
  <c r="AN106"/>
  <c r="AK106"/>
  <c r="AD106"/>
  <c r="AC106"/>
  <c r="AH106"/>
  <c r="Y106"/>
  <c r="X106"/>
  <c r="AL106"/>
  <c r="W106"/>
  <c r="V106"/>
  <c r="U106"/>
  <c r="Q106"/>
  <c r="AG106"/>
  <c r="P106"/>
  <c r="O106"/>
  <c r="N106"/>
  <c r="M106"/>
  <c r="L106"/>
  <c r="AV105"/>
  <c r="AQ105"/>
  <c r="AU105"/>
  <c r="AP105"/>
  <c r="AO105"/>
  <c r="AN105"/>
  <c r="AD105"/>
  <c r="AC105"/>
  <c r="AH105"/>
  <c r="Y105"/>
  <c r="X105"/>
  <c r="W105"/>
  <c r="AT105"/>
  <c r="U105"/>
  <c r="Q105"/>
  <c r="AG105"/>
  <c r="P105"/>
  <c r="O105"/>
  <c r="N105"/>
  <c r="M105"/>
  <c r="M103"/>
  <c r="L105"/>
  <c r="AP104"/>
  <c r="AO104"/>
  <c r="AN104"/>
  <c r="U104"/>
  <c r="AP103"/>
  <c r="AO103"/>
  <c r="AN103"/>
  <c r="AC103"/>
  <c r="Y103"/>
  <c r="U103"/>
  <c r="P103"/>
  <c r="N103"/>
  <c r="AP102"/>
  <c r="AO102"/>
  <c r="AN102"/>
  <c r="U102"/>
  <c r="AP101"/>
  <c r="AO101"/>
  <c r="AN101"/>
  <c r="U101"/>
  <c r="O101"/>
  <c r="AF101"/>
  <c r="M101"/>
  <c r="AP100"/>
  <c r="AO100"/>
  <c r="AN100"/>
  <c r="U100"/>
  <c r="O100"/>
  <c r="AE100"/>
  <c r="M100"/>
  <c r="AU99"/>
  <c r="AS99"/>
  <c r="AP99"/>
  <c r="AO99"/>
  <c r="AN99"/>
  <c r="AM99"/>
  <c r="AL99"/>
  <c r="U99"/>
  <c r="O99"/>
  <c r="M99"/>
  <c r="M98"/>
  <c r="M94"/>
  <c r="M77"/>
  <c r="AS98"/>
  <c r="AQ98"/>
  <c r="AU98"/>
  <c r="AP98"/>
  <c r="AO98"/>
  <c r="AN98"/>
  <c r="AL98"/>
  <c r="AD98"/>
  <c r="AC98"/>
  <c r="Y98"/>
  <c r="AM98"/>
  <c r="X98"/>
  <c r="U98"/>
  <c r="Q98"/>
  <c r="AG98"/>
  <c r="P98"/>
  <c r="AF98"/>
  <c r="O98"/>
  <c r="N98"/>
  <c r="L98"/>
  <c r="AP97"/>
  <c r="AO97"/>
  <c r="AN97"/>
  <c r="U97"/>
  <c r="AP96"/>
  <c r="AO96"/>
  <c r="AN96"/>
  <c r="U96"/>
  <c r="AQ95"/>
  <c r="AQ94"/>
  <c r="AP95"/>
  <c r="AO95"/>
  <c r="AN95"/>
  <c r="AD95"/>
  <c r="AC95"/>
  <c r="Y95"/>
  <c r="X95"/>
  <c r="W95"/>
  <c r="V95"/>
  <c r="V94"/>
  <c r="V77"/>
  <c r="AR77"/>
  <c r="U95"/>
  <c r="Q95"/>
  <c r="P95"/>
  <c r="O95"/>
  <c r="N95"/>
  <c r="M95"/>
  <c r="L95"/>
  <c r="AU94"/>
  <c r="AP94"/>
  <c r="AO94"/>
  <c r="AN94"/>
  <c r="AG94"/>
  <c r="AD94"/>
  <c r="AC94"/>
  <c r="Y94"/>
  <c r="X94"/>
  <c r="AM94"/>
  <c r="W94"/>
  <c r="U94"/>
  <c r="Q94"/>
  <c r="P94"/>
  <c r="AF94"/>
  <c r="O94"/>
  <c r="N94"/>
  <c r="L94"/>
  <c r="AP93"/>
  <c r="AO93"/>
  <c r="AN93"/>
  <c r="U93"/>
  <c r="AV92"/>
  <c r="AU92"/>
  <c r="AT92"/>
  <c r="AS92"/>
  <c r="AR92"/>
  <c r="AP92"/>
  <c r="AO92"/>
  <c r="AN92"/>
  <c r="AL92"/>
  <c r="AK92"/>
  <c r="AH92"/>
  <c r="AG92"/>
  <c r="AF92"/>
  <c r="U92"/>
  <c r="O92"/>
  <c r="AQ91"/>
  <c r="AP91"/>
  <c r="AO91"/>
  <c r="AN91"/>
  <c r="AF91"/>
  <c r="AD91"/>
  <c r="AC91"/>
  <c r="Y91"/>
  <c r="X91"/>
  <c r="AL91"/>
  <c r="W91"/>
  <c r="AT91"/>
  <c r="V91"/>
  <c r="AS91"/>
  <c r="U91"/>
  <c r="Q91"/>
  <c r="P91"/>
  <c r="O91"/>
  <c r="N91"/>
  <c r="M91"/>
  <c r="L91"/>
  <c r="AV90"/>
  <c r="AT90"/>
  <c r="AS90"/>
  <c r="AR90"/>
  <c r="AP90"/>
  <c r="AO90"/>
  <c r="AN90"/>
  <c r="AK90"/>
  <c r="U90"/>
  <c r="AP89"/>
  <c r="AO89"/>
  <c r="AN89"/>
  <c r="U89"/>
  <c r="O89"/>
  <c r="AF89"/>
  <c r="M89"/>
  <c r="AE89"/>
  <c r="AV88"/>
  <c r="AT88"/>
  <c r="AR88"/>
  <c r="AP88"/>
  <c r="AO88"/>
  <c r="AN88"/>
  <c r="AM88"/>
  <c r="AK88"/>
  <c r="AH88"/>
  <c r="AG88"/>
  <c r="U88"/>
  <c r="O88"/>
  <c r="AF88"/>
  <c r="AP87"/>
  <c r="AO87"/>
  <c r="AN87"/>
  <c r="U87"/>
  <c r="O87"/>
  <c r="AV86"/>
  <c r="AS86"/>
  <c r="AP86"/>
  <c r="AO86"/>
  <c r="AN86"/>
  <c r="AK86"/>
  <c r="AH86"/>
  <c r="AG86"/>
  <c r="X86"/>
  <c r="W86"/>
  <c r="AU86"/>
  <c r="V86"/>
  <c r="AR86"/>
  <c r="U86"/>
  <c r="O86"/>
  <c r="AF86"/>
  <c r="M86"/>
  <c r="AQ85"/>
  <c r="AV85"/>
  <c r="AP85"/>
  <c r="AO85"/>
  <c r="AN85"/>
  <c r="AD85"/>
  <c r="AC85"/>
  <c r="AH85"/>
  <c r="Y85"/>
  <c r="V85"/>
  <c r="AR85"/>
  <c r="T85"/>
  <c r="S85"/>
  <c r="Q85"/>
  <c r="AG85"/>
  <c r="P85"/>
  <c r="N85"/>
  <c r="M85"/>
  <c r="L85"/>
  <c r="AP84"/>
  <c r="AO84"/>
  <c r="AN84"/>
  <c r="U84"/>
  <c r="AV83"/>
  <c r="AU83"/>
  <c r="AT83"/>
  <c r="AR83"/>
  <c r="AP83"/>
  <c r="AO83"/>
  <c r="AN83"/>
  <c r="AM83"/>
  <c r="AL83"/>
  <c r="AK83"/>
  <c r="AH83"/>
  <c r="AG83"/>
  <c r="U83"/>
  <c r="O83"/>
  <c r="M83"/>
  <c r="AV82"/>
  <c r="AU82"/>
  <c r="AT82"/>
  <c r="AR82"/>
  <c r="AP82"/>
  <c r="AO82"/>
  <c r="AN82"/>
  <c r="AK82"/>
  <c r="AH82"/>
  <c r="AF82"/>
  <c r="X82"/>
  <c r="W82"/>
  <c r="AS82"/>
  <c r="V82"/>
  <c r="U82"/>
  <c r="U81"/>
  <c r="O82"/>
  <c r="AE82"/>
  <c r="M82"/>
  <c r="AV81"/>
  <c r="AT81"/>
  <c r="AQ81"/>
  <c r="AU81"/>
  <c r="AP81"/>
  <c r="AO81"/>
  <c r="AN81"/>
  <c r="AD81"/>
  <c r="AC81"/>
  <c r="AH81"/>
  <c r="Y81"/>
  <c r="X81"/>
  <c r="AL81"/>
  <c r="W81"/>
  <c r="AS81"/>
  <c r="V81"/>
  <c r="AR81"/>
  <c r="T81"/>
  <c r="S81"/>
  <c r="Q81"/>
  <c r="P81"/>
  <c r="O81"/>
  <c r="N81"/>
  <c r="M81"/>
  <c r="L81"/>
  <c r="L79"/>
  <c r="L77"/>
  <c r="AP80"/>
  <c r="AO80"/>
  <c r="AN80"/>
  <c r="AQ79"/>
  <c r="AV79"/>
  <c r="AP79"/>
  <c r="AO79"/>
  <c r="AN79"/>
  <c r="AD79"/>
  <c r="AD77"/>
  <c r="AC79"/>
  <c r="V79"/>
  <c r="AR79"/>
  <c r="T79"/>
  <c r="S79"/>
  <c r="S77"/>
  <c r="Q79"/>
  <c r="N79"/>
  <c r="N77"/>
  <c r="N48"/>
  <c r="M79"/>
  <c r="AP78"/>
  <c r="AO78"/>
  <c r="AN78"/>
  <c r="AP77"/>
  <c r="AO77"/>
  <c r="AN77"/>
  <c r="T77"/>
  <c r="AP76"/>
  <c r="AO76"/>
  <c r="AN76"/>
  <c r="U76"/>
  <c r="AP75"/>
  <c r="AO75"/>
  <c r="AN75"/>
  <c r="U75"/>
  <c r="AP74"/>
  <c r="AO74"/>
  <c r="AN74"/>
  <c r="AD74"/>
  <c r="AC74"/>
  <c r="U74"/>
  <c r="Q74"/>
  <c r="P74"/>
  <c r="O74"/>
  <c r="N74"/>
  <c r="M74"/>
  <c r="L74"/>
  <c r="AP73"/>
  <c r="AO73"/>
  <c r="AN73"/>
  <c r="U73"/>
  <c r="AV72"/>
  <c r="AU72"/>
  <c r="AT72"/>
  <c r="AS72"/>
  <c r="AR72"/>
  <c r="AP72"/>
  <c r="AO72"/>
  <c r="AN72"/>
  <c r="AM72"/>
  <c r="AL72"/>
  <c r="AK72"/>
  <c r="AH72"/>
  <c r="AG72"/>
  <c r="U72"/>
  <c r="U71"/>
  <c r="U69"/>
  <c r="O72"/>
  <c r="M72"/>
  <c r="AQ71"/>
  <c r="AV71"/>
  <c r="AP71"/>
  <c r="AO71"/>
  <c r="AN71"/>
  <c r="AH71"/>
  <c r="AD71"/>
  <c r="AC71"/>
  <c r="Y71"/>
  <c r="AM71"/>
  <c r="X71"/>
  <c r="W71"/>
  <c r="AT71"/>
  <c r="V71"/>
  <c r="AR71"/>
  <c r="T71"/>
  <c r="S71"/>
  <c r="Q71"/>
  <c r="P71"/>
  <c r="AG71"/>
  <c r="N71"/>
  <c r="M71"/>
  <c r="M69"/>
  <c r="L71"/>
  <c r="L69"/>
  <c r="AP70"/>
  <c r="AO70"/>
  <c r="AN70"/>
  <c r="AP69"/>
  <c r="AO69"/>
  <c r="AN69"/>
  <c r="AH69"/>
  <c r="AD69"/>
  <c r="AC69"/>
  <c r="Y69"/>
  <c r="AM69"/>
  <c r="X69"/>
  <c r="W69"/>
  <c r="W50"/>
  <c r="T69"/>
  <c r="S69"/>
  <c r="Q69"/>
  <c r="P69"/>
  <c r="N69"/>
  <c r="AP68"/>
  <c r="AO68"/>
  <c r="AN68"/>
  <c r="U68"/>
  <c r="AV67"/>
  <c r="AU67"/>
  <c r="AT67"/>
  <c r="AS67"/>
  <c r="AR67"/>
  <c r="AP67"/>
  <c r="AO67"/>
  <c r="AN67"/>
  <c r="AM67"/>
  <c r="AL67"/>
  <c r="AK67"/>
  <c r="AH67"/>
  <c r="AG67"/>
  <c r="AF67"/>
  <c r="U67"/>
  <c r="U66"/>
  <c r="O67"/>
  <c r="AE67"/>
  <c r="M67"/>
  <c r="M66"/>
  <c r="AT66"/>
  <c r="AQ66"/>
  <c r="AU66"/>
  <c r="AP66"/>
  <c r="AO66"/>
  <c r="AN66"/>
  <c r="AK66"/>
  <c r="AG66"/>
  <c r="AE66"/>
  <c r="AD66"/>
  <c r="AC66"/>
  <c r="AH66"/>
  <c r="Y66"/>
  <c r="AM66"/>
  <c r="X66"/>
  <c r="AL66"/>
  <c r="W66"/>
  <c r="V66"/>
  <c r="AS66"/>
  <c r="T66"/>
  <c r="T60"/>
  <c r="T50"/>
  <c r="S66"/>
  <c r="Q66"/>
  <c r="P66"/>
  <c r="O66"/>
  <c r="AF66"/>
  <c r="N66"/>
  <c r="L66"/>
  <c r="AP65"/>
  <c r="AO65"/>
  <c r="AN65"/>
  <c r="U65"/>
  <c r="AV64"/>
  <c r="AU64"/>
  <c r="AT64"/>
  <c r="AS64"/>
  <c r="AR64"/>
  <c r="AP64"/>
  <c r="AO64"/>
  <c r="AN64"/>
  <c r="AM64"/>
  <c r="AL64"/>
  <c r="AK64"/>
  <c r="AH64"/>
  <c r="AG64"/>
  <c r="U64"/>
  <c r="O64"/>
  <c r="AE64"/>
  <c r="M64"/>
  <c r="AV63"/>
  <c r="AU63"/>
  <c r="AT63"/>
  <c r="AS63"/>
  <c r="AR63"/>
  <c r="AP63"/>
  <c r="AO63"/>
  <c r="AN63"/>
  <c r="AM63"/>
  <c r="AL63"/>
  <c r="AK63"/>
  <c r="AH63"/>
  <c r="AG63"/>
  <c r="AE63"/>
  <c r="U63"/>
  <c r="O63"/>
  <c r="AF63"/>
  <c r="M63"/>
  <c r="M62"/>
  <c r="M60"/>
  <c r="M50"/>
  <c r="AV62"/>
  <c r="AR62"/>
  <c r="AQ62"/>
  <c r="AP62"/>
  <c r="AO62"/>
  <c r="AN62"/>
  <c r="AH62"/>
  <c r="AD62"/>
  <c r="AD60"/>
  <c r="AD50"/>
  <c r="AD48"/>
  <c r="AC62"/>
  <c r="Y62"/>
  <c r="AM62"/>
  <c r="X62"/>
  <c r="AL62"/>
  <c r="W62"/>
  <c r="AT62"/>
  <c r="V62"/>
  <c r="T62"/>
  <c r="S62"/>
  <c r="S60"/>
  <c r="Q62"/>
  <c r="AG62"/>
  <c r="P62"/>
  <c r="N62"/>
  <c r="L62"/>
  <c r="AP61"/>
  <c r="AO61"/>
  <c r="AN61"/>
  <c r="AQ60"/>
  <c r="AV60"/>
  <c r="AP60"/>
  <c r="AO60"/>
  <c r="AN60"/>
  <c r="AH60"/>
  <c r="AC60"/>
  <c r="Y60"/>
  <c r="AM60"/>
  <c r="X60"/>
  <c r="W60"/>
  <c r="AT60"/>
  <c r="V60"/>
  <c r="AR60"/>
  <c r="Q60"/>
  <c r="P60"/>
  <c r="AG60"/>
  <c r="N60"/>
  <c r="L60"/>
  <c r="AP59"/>
  <c r="AO59"/>
  <c r="AN59"/>
  <c r="U59"/>
  <c r="AV58"/>
  <c r="AT58"/>
  <c r="AR58"/>
  <c r="AP58"/>
  <c r="AO58"/>
  <c r="AN58"/>
  <c r="AK58"/>
  <c r="U58"/>
  <c r="U52"/>
  <c r="O58"/>
  <c r="AV57"/>
  <c r="AT57"/>
  <c r="AR57"/>
  <c r="AP57"/>
  <c r="AO57"/>
  <c r="AN57"/>
  <c r="AK57"/>
  <c r="AH57"/>
  <c r="AG57"/>
  <c r="AF57"/>
  <c r="AE57"/>
  <c r="O57"/>
  <c r="M57"/>
  <c r="AV56"/>
  <c r="AU56"/>
  <c r="AT56"/>
  <c r="AS56"/>
  <c r="AR56"/>
  <c r="AP56"/>
  <c r="AO56"/>
  <c r="AN56"/>
  <c r="AM56"/>
  <c r="AL56"/>
  <c r="AK56"/>
  <c r="AH56"/>
  <c r="AG56"/>
  <c r="AF56"/>
  <c r="AE56"/>
  <c r="O56"/>
  <c r="M56"/>
  <c r="AV55"/>
  <c r="AU55"/>
  <c r="AT55"/>
  <c r="AS55"/>
  <c r="AR55"/>
  <c r="AP55"/>
  <c r="AO55"/>
  <c r="AN55"/>
  <c r="AM55"/>
  <c r="AL55"/>
  <c r="AK55"/>
  <c r="AH55"/>
  <c r="AG55"/>
  <c r="AF55"/>
  <c r="O55"/>
  <c r="AE55"/>
  <c r="M55"/>
  <c r="AV54"/>
  <c r="AU54"/>
  <c r="AT54"/>
  <c r="AS54"/>
  <c r="AR54"/>
  <c r="AP54"/>
  <c r="AO54"/>
  <c r="AN54"/>
  <c r="AM54"/>
  <c r="AL54"/>
  <c r="AK54"/>
  <c r="AH54"/>
  <c r="AG54"/>
  <c r="O54"/>
  <c r="AF54"/>
  <c r="M54"/>
  <c r="AV53"/>
  <c r="AU53"/>
  <c r="AT53"/>
  <c r="AS53"/>
  <c r="AR53"/>
  <c r="AP53"/>
  <c r="AO53"/>
  <c r="AN53"/>
  <c r="AM53"/>
  <c r="AL53"/>
  <c r="AK53"/>
  <c r="AH53"/>
  <c r="AG53"/>
  <c r="AF53"/>
  <c r="AE53"/>
  <c r="O53"/>
  <c r="M53"/>
  <c r="AU52"/>
  <c r="AQ52"/>
  <c r="AP52"/>
  <c r="AO52"/>
  <c r="AN52"/>
  <c r="AM52"/>
  <c r="AG52"/>
  <c r="AD52"/>
  <c r="AC52"/>
  <c r="Y52"/>
  <c r="X52"/>
  <c r="W52"/>
  <c r="AS52"/>
  <c r="V52"/>
  <c r="T52"/>
  <c r="S52"/>
  <c r="R52"/>
  <c r="R50"/>
  <c r="R48"/>
  <c r="Q52"/>
  <c r="P52"/>
  <c r="AF52"/>
  <c r="O52"/>
  <c r="AE52"/>
  <c r="N52"/>
  <c r="M52"/>
  <c r="L52"/>
  <c r="AP51"/>
  <c r="AO51"/>
  <c r="AN51"/>
  <c r="AP50"/>
  <c r="AO50"/>
  <c r="AN50"/>
  <c r="Y50"/>
  <c r="AM50"/>
  <c r="X50"/>
  <c r="Q50"/>
  <c r="P50"/>
  <c r="N50"/>
  <c r="L50"/>
  <c r="L48"/>
  <c r="AP49"/>
  <c r="AO49"/>
  <c r="AN49"/>
  <c r="AP48"/>
  <c r="AO48"/>
  <c r="AN48"/>
  <c r="T48"/>
  <c r="AP47"/>
  <c r="AO47"/>
  <c r="AN47"/>
  <c r="AP46"/>
  <c r="AO46"/>
  <c r="AN46"/>
  <c r="AD46"/>
  <c r="T46"/>
  <c r="AO45"/>
  <c r="AN45"/>
  <c r="U45"/>
  <c r="AP44"/>
  <c r="AO44"/>
  <c r="AP43"/>
  <c r="AP40"/>
  <c r="AP38"/>
  <c r="AP37"/>
  <c r="AP36"/>
  <c r="AP35"/>
  <c r="AP34"/>
  <c r="AP33"/>
  <c r="AP32"/>
  <c r="AP31"/>
  <c r="AP30"/>
  <c r="AO30"/>
  <c r="AK30"/>
  <c r="O30"/>
  <c r="M30"/>
  <c r="AP29"/>
  <c r="AO29"/>
  <c r="AK29"/>
  <c r="O29"/>
  <c r="M29"/>
  <c r="AP28"/>
  <c r="AO28"/>
  <c r="AK28"/>
  <c r="O28"/>
  <c r="M28"/>
  <c r="AP27"/>
  <c r="AO27"/>
  <c r="AK27"/>
  <c r="O27"/>
  <c r="M27"/>
  <c r="AP26"/>
  <c r="AO26"/>
  <c r="AP25"/>
  <c r="AO25"/>
  <c r="AP24"/>
  <c r="AO24"/>
  <c r="O23"/>
  <c r="M23"/>
  <c r="AP22"/>
  <c r="AO22"/>
  <c r="O22"/>
  <c r="AP21"/>
  <c r="AO21"/>
  <c r="AL21"/>
  <c r="O21"/>
  <c r="M21"/>
  <c r="AP20"/>
  <c r="AO20"/>
  <c r="O20"/>
  <c r="AP19"/>
  <c r="AO19"/>
  <c r="AP18"/>
  <c r="AO18"/>
  <c r="AP17"/>
  <c r="AO17"/>
  <c r="AP16"/>
  <c r="AO16"/>
  <c r="AP15"/>
  <c r="AO15"/>
  <c r="X15"/>
  <c r="T15"/>
  <c r="AP14"/>
  <c r="AO14"/>
  <c r="T14"/>
  <c r="T16"/>
  <c r="N14"/>
  <c r="AP13"/>
  <c r="AO13"/>
  <c r="AD13"/>
  <c r="T13"/>
  <c r="AP12"/>
  <c r="AO12"/>
  <c r="AD12"/>
  <c r="AC12"/>
  <c r="AH12"/>
  <c r="U12"/>
  <c r="T12"/>
  <c r="S12"/>
  <c r="R12"/>
  <c r="Q12"/>
  <c r="AG12"/>
  <c r="P12"/>
  <c r="O12"/>
  <c r="AP11"/>
  <c r="AO11"/>
  <c r="AD11"/>
  <c r="T11"/>
  <c r="S260"/>
  <c r="S259"/>
  <c r="S303"/>
  <c r="S302"/>
  <c r="AA237"/>
  <c r="S237"/>
  <c r="AA334"/>
  <c r="S222"/>
  <c r="S218"/>
  <c r="AA271"/>
  <c r="AA270"/>
  <c r="AA268"/>
  <c r="Z859"/>
  <c r="Z858"/>
  <c r="Z857"/>
  <c r="Z856"/>
  <c r="Z854"/>
  <c r="Z821"/>
  <c r="S300"/>
  <c r="S299"/>
  <c r="S564"/>
  <c r="S602"/>
  <c r="S601"/>
  <c r="S599"/>
  <c r="S598"/>
  <c r="S236"/>
  <c r="S943"/>
  <c r="S287"/>
  <c r="S968"/>
  <c r="S966"/>
  <c r="S963"/>
  <c r="AA306"/>
  <c r="AA305"/>
  <c r="S210"/>
  <c r="S209"/>
  <c r="AA241"/>
  <c r="S334"/>
  <c r="S952"/>
  <c r="S951"/>
  <c r="S950"/>
  <c r="S949"/>
  <c r="S947"/>
  <c r="S242"/>
  <c r="S266"/>
  <c r="S262"/>
  <c r="S257"/>
  <c r="S271"/>
  <c r="S270"/>
  <c r="S268"/>
  <c r="S320"/>
  <c r="S723"/>
  <c r="S722"/>
  <c r="S720"/>
  <c r="U62"/>
  <c r="U60"/>
  <c r="U50"/>
  <c r="AA214"/>
  <c r="AA333"/>
  <c r="AA319"/>
  <c r="S632"/>
  <c r="S631"/>
  <c r="S630"/>
  <c r="AA285"/>
  <c r="AA282"/>
  <c r="AA253"/>
  <c r="AA226"/>
  <c r="U85"/>
  <c r="U79"/>
  <c r="U77"/>
  <c r="AA252"/>
  <c r="AA324"/>
  <c r="AA213"/>
  <c r="AA234"/>
  <c r="AA266"/>
  <c r="AA262"/>
  <c r="AA257"/>
  <c r="S552"/>
  <c r="S678"/>
  <c r="S677"/>
  <c r="S675"/>
  <c r="S849"/>
  <c r="S848"/>
  <c r="S847"/>
  <c r="S845"/>
  <c r="S214"/>
  <c r="S212"/>
  <c r="S414"/>
  <c r="S252"/>
  <c r="AA295"/>
  <c r="S757"/>
  <c r="S756"/>
  <c r="S755"/>
  <c r="S753"/>
  <c r="AA210"/>
  <c r="AA209"/>
  <c r="AA320"/>
  <c r="S295"/>
  <c r="AA235"/>
  <c r="AA236"/>
  <c r="AA242"/>
  <c r="S313"/>
  <c r="S312"/>
  <c r="S310"/>
  <c r="S318"/>
  <c r="S317"/>
  <c r="S335"/>
  <c r="AA228"/>
  <c r="AA318"/>
  <c r="S205"/>
  <c r="S255"/>
  <c r="S248"/>
  <c r="AA222"/>
  <c r="AA218"/>
  <c r="AA245"/>
  <c r="AA244"/>
  <c r="AA212"/>
  <c r="S393"/>
  <c r="S402"/>
  <c r="S484"/>
  <c r="S479"/>
  <c r="S478"/>
  <c r="S476"/>
  <c r="S475"/>
  <c r="AA292"/>
  <c r="AA291"/>
  <c r="AA255"/>
  <c r="S240"/>
  <c r="S781"/>
  <c r="S780"/>
  <c r="S778"/>
  <c r="S776"/>
  <c r="S768"/>
  <c r="AA206"/>
  <c r="AA205"/>
  <c r="AA328"/>
  <c r="AA229"/>
  <c r="S528"/>
  <c r="S527"/>
  <c r="S526"/>
  <c r="S524"/>
  <c r="S523"/>
  <c r="AA240"/>
  <c r="S572"/>
  <c r="S571"/>
  <c r="S570"/>
  <c r="S926"/>
  <c r="S925"/>
  <c r="S924"/>
  <c r="S922"/>
  <c r="S280"/>
  <c r="S873"/>
  <c r="S228"/>
  <c r="AA278"/>
  <c r="AA273"/>
  <c r="S328"/>
  <c r="U16"/>
  <c r="S235"/>
  <c r="S238"/>
  <c r="S443"/>
  <c r="S640"/>
  <c r="S639"/>
  <c r="S638"/>
  <c r="S937"/>
  <c r="S286"/>
  <c r="S285"/>
  <c r="S282"/>
  <c r="S911"/>
  <c r="S586"/>
  <c r="S422"/>
  <c r="S511"/>
  <c r="S510"/>
  <c r="S918"/>
  <c r="S917"/>
  <c r="S916"/>
  <c r="S372"/>
  <c r="S363"/>
  <c r="S579"/>
  <c r="S578"/>
  <c r="S577"/>
  <c r="S618"/>
  <c r="S617"/>
  <c r="S616"/>
  <c r="S614"/>
  <c r="S651"/>
  <c r="S650"/>
  <c r="S649"/>
  <c r="S647"/>
  <c r="L11"/>
  <c r="L13"/>
  <c r="L46"/>
  <c r="N11"/>
  <c r="N13"/>
  <c r="N46"/>
  <c r="R11"/>
  <c r="R13"/>
  <c r="R46"/>
  <c r="T17"/>
  <c r="T26"/>
  <c r="AB201"/>
  <c r="AB199"/>
  <c r="AK50"/>
  <c r="AL50"/>
  <c r="AT50"/>
  <c r="AL86"/>
  <c r="AM86"/>
  <c r="X85"/>
  <c r="AL85"/>
  <c r="AF235"/>
  <c r="AG50"/>
  <c r="S50"/>
  <c r="S48"/>
  <c r="AL69"/>
  <c r="AF83"/>
  <c r="AE83"/>
  <c r="Q103"/>
  <c r="AG103"/>
  <c r="AG114"/>
  <c r="AL119"/>
  <c r="AV131"/>
  <c r="AU131"/>
  <c r="AL147"/>
  <c r="AS157"/>
  <c r="AS160"/>
  <c r="V157"/>
  <c r="AR177"/>
  <c r="V175"/>
  <c r="AV186"/>
  <c r="AU186"/>
  <c r="AQ184"/>
  <c r="AH210"/>
  <c r="AG213"/>
  <c r="Q212"/>
  <c r="AT214"/>
  <c r="R212"/>
  <c r="AT212"/>
  <c r="AK214"/>
  <c r="AT220"/>
  <c r="R218"/>
  <c r="AK220"/>
  <c r="AB216"/>
  <c r="AU115"/>
  <c r="W114"/>
  <c r="AT115"/>
  <c r="AS115"/>
  <c r="AK115"/>
  <c r="AU166"/>
  <c r="AT166"/>
  <c r="AL166"/>
  <c r="AS166"/>
  <c r="AK166"/>
  <c r="W164"/>
  <c r="Q77"/>
  <c r="AE99"/>
  <c r="AS106"/>
  <c r="AL114"/>
  <c r="AL115"/>
  <c r="AM145"/>
  <c r="AE177"/>
  <c r="M175"/>
  <c r="M173"/>
  <c r="AL175"/>
  <c r="X173"/>
  <c r="AE184"/>
  <c r="M182"/>
  <c r="AG206"/>
  <c r="Q205"/>
  <c r="AM224"/>
  <c r="AF224"/>
  <c r="L233"/>
  <c r="L216"/>
  <c r="AM235"/>
  <c r="O248"/>
  <c r="AV250"/>
  <c r="AU250"/>
  <c r="AQ248"/>
  <c r="AU330"/>
  <c r="AG422"/>
  <c r="AH422"/>
  <c r="V114"/>
  <c r="AR114"/>
  <c r="AR125"/>
  <c r="AS177"/>
  <c r="W175"/>
  <c r="AT177"/>
  <c r="AK177"/>
  <c r="AL235"/>
  <c r="X233"/>
  <c r="O1101"/>
  <c r="AE1101"/>
  <c r="AF1102"/>
  <c r="AE1102"/>
  <c r="O255"/>
  <c r="AR52"/>
  <c r="Y79"/>
  <c r="AV91"/>
  <c r="AU91"/>
  <c r="AQ77"/>
  <c r="AE98"/>
  <c r="AF119"/>
  <c r="AV125"/>
  <c r="AU125"/>
  <c r="AQ114"/>
  <c r="AE161"/>
  <c r="M160"/>
  <c r="AL177"/>
  <c r="AE182"/>
  <c r="AF205"/>
  <c r="P203"/>
  <c r="AU230"/>
  <c r="AK230"/>
  <c r="W224"/>
  <c r="AL224"/>
  <c r="AT230"/>
  <c r="AS230"/>
  <c r="AC233"/>
  <c r="AH233"/>
  <c r="AH239"/>
  <c r="AS253"/>
  <c r="AK253"/>
  <c r="AV253"/>
  <c r="AT253"/>
  <c r="AE300"/>
  <c r="O409"/>
  <c r="AL231"/>
  <c r="AM231"/>
  <c r="O79"/>
  <c r="AE81"/>
  <c r="AM82"/>
  <c r="AL82"/>
  <c r="AG136"/>
  <c r="P134"/>
  <c r="AF153"/>
  <c r="AE153"/>
  <c r="AL164"/>
  <c r="AR205"/>
  <c r="V203"/>
  <c r="AT226"/>
  <c r="AK226"/>
  <c r="R224"/>
  <c r="AL234"/>
  <c r="AU234"/>
  <c r="AK234"/>
  <c r="AT234"/>
  <c r="AS234"/>
  <c r="W233"/>
  <c r="AT238"/>
  <c r="AK238"/>
  <c r="AL105"/>
  <c r="X103"/>
  <c r="AV233"/>
  <c r="AU233"/>
  <c r="AV241"/>
  <c r="AU241"/>
  <c r="AF1097"/>
  <c r="AE1097"/>
  <c r="O240"/>
  <c r="AV1217"/>
  <c r="AQ1216"/>
  <c r="AF81"/>
  <c r="AM81"/>
  <c r="AF85"/>
  <c r="P79"/>
  <c r="M134"/>
  <c r="AL136"/>
  <c r="X134"/>
  <c r="AM164"/>
  <c r="M170"/>
  <c r="AE171"/>
  <c r="AK182"/>
  <c r="AT182"/>
  <c r="AR184"/>
  <c r="V182"/>
  <c r="AR182"/>
  <c r="L203"/>
  <c r="AD203"/>
  <c r="AK212"/>
  <c r="AG224"/>
  <c r="AS229"/>
  <c r="V224"/>
  <c r="AR224"/>
  <c r="AR229"/>
  <c r="AV234"/>
  <c r="AH237"/>
  <c r="AL242"/>
  <c r="AU242"/>
  <c r="AK242"/>
  <c r="AT242"/>
  <c r="AS242"/>
  <c r="AV293"/>
  <c r="AL293"/>
  <c r="AU293"/>
  <c r="AK293"/>
  <c r="AT293"/>
  <c r="AS293"/>
  <c r="AF72"/>
  <c r="O71"/>
  <c r="AE72"/>
  <c r="AR106"/>
  <c r="V105"/>
  <c r="AV52"/>
  <c r="AC77"/>
  <c r="AH79"/>
  <c r="AS94"/>
  <c r="AM103"/>
  <c r="AF121"/>
  <c r="O119"/>
  <c r="AE121"/>
  <c r="AF151"/>
  <c r="AE151"/>
  <c r="O145"/>
  <c r="AE145"/>
  <c r="Q164"/>
  <c r="AG164"/>
  <c r="AH170"/>
  <c r="AG170"/>
  <c r="AG210"/>
  <c r="Q209"/>
  <c r="AM212"/>
  <c r="AQ203"/>
  <c r="AV212"/>
  <c r="AU212"/>
  <c r="AV218"/>
  <c r="AU218"/>
  <c r="AH221"/>
  <c r="AC218"/>
  <c r="AD224"/>
  <c r="AD216"/>
  <c r="AF236"/>
  <c r="P233"/>
  <c r="AG236"/>
  <c r="AM236"/>
  <c r="Y233"/>
  <c r="AM233"/>
  <c r="AL251"/>
  <c r="W248"/>
  <c r="AV251"/>
  <c r="AK251"/>
  <c r="AU251"/>
  <c r="AS251"/>
  <c r="AQ273"/>
  <c r="AU278"/>
  <c r="AV278"/>
  <c r="AE388"/>
  <c r="M228"/>
  <c r="M224"/>
  <c r="AE395"/>
  <c r="M235"/>
  <c r="AE94"/>
  <c r="R203"/>
  <c r="AH52"/>
  <c r="AC50"/>
  <c r="AT69"/>
  <c r="AK69"/>
  <c r="AH91"/>
  <c r="AG91"/>
  <c r="AH103"/>
  <c r="AU119"/>
  <c r="AT119"/>
  <c r="AS119"/>
  <c r="AK119"/>
  <c r="AF138"/>
  <c r="AE138"/>
  <c r="O136"/>
  <c r="AF136"/>
  <c r="AH138"/>
  <c r="AC136"/>
  <c r="AU147"/>
  <c r="AT147"/>
  <c r="AS147"/>
  <c r="AK147"/>
  <c r="W145"/>
  <c r="AM184"/>
  <c r="Y182"/>
  <c r="Y203"/>
  <c r="AG219"/>
  <c r="Q218"/>
  <c r="AV229"/>
  <c r="AU229"/>
  <c r="AQ224"/>
  <c r="AQ216"/>
  <c r="AS241"/>
  <c r="AR241"/>
  <c r="AS250"/>
  <c r="V248"/>
  <c r="AR250"/>
  <c r="AE250"/>
  <c r="AH252"/>
  <c r="Q248"/>
  <c r="AG248"/>
  <c r="AG252"/>
  <c r="AH361"/>
  <c r="AC360"/>
  <c r="AL52"/>
  <c r="AT52"/>
  <c r="AU62"/>
  <c r="AF64"/>
  <c r="AV66"/>
  <c r="V69"/>
  <c r="AG69"/>
  <c r="AQ69"/>
  <c r="AK81"/>
  <c r="O85"/>
  <c r="AE85"/>
  <c r="AF123"/>
  <c r="AF128"/>
  <c r="AV134"/>
  <c r="AM136"/>
  <c r="AL138"/>
  <c r="AS178"/>
  <c r="O205"/>
  <c r="X205"/>
  <c r="AS205"/>
  <c r="O209"/>
  <c r="AE209"/>
  <c r="X209"/>
  <c r="AL209"/>
  <c r="AS209"/>
  <c r="O212"/>
  <c r="AE212"/>
  <c r="X212"/>
  <c r="AL212"/>
  <c r="AU214"/>
  <c r="O218"/>
  <c r="X218"/>
  <c r="AU220"/>
  <c r="AL221"/>
  <c r="AM222"/>
  <c r="AL227"/>
  <c r="AM228"/>
  <c r="AS236"/>
  <c r="AL239"/>
  <c r="AM240"/>
  <c r="R248"/>
  <c r="AM249"/>
  <c r="AF252"/>
  <c r="AH253"/>
  <c r="AV255"/>
  <c r="AL255"/>
  <c r="AK255"/>
  <c r="AT255"/>
  <c r="AS255"/>
  <c r="AS259"/>
  <c r="AF262"/>
  <c r="AT278"/>
  <c r="AG285"/>
  <c r="Q282"/>
  <c r="AV286"/>
  <c r="AU286"/>
  <c r="AQ285"/>
  <c r="AS299"/>
  <c r="AG306"/>
  <c r="Q305"/>
  <c r="N315"/>
  <c r="N308"/>
  <c r="AF322"/>
  <c r="AH328"/>
  <c r="AH330"/>
  <c r="AV335"/>
  <c r="AE437"/>
  <c r="M255"/>
  <c r="M248"/>
  <c r="AK478"/>
  <c r="AT478"/>
  <c r="W476"/>
  <c r="P577"/>
  <c r="AE86"/>
  <c r="AR91"/>
  <c r="AL94"/>
  <c r="AU106"/>
  <c r="AL178"/>
  <c r="AR186"/>
  <c r="AE187"/>
  <c r="AK205"/>
  <c r="AL206"/>
  <c r="AK209"/>
  <c r="AL210"/>
  <c r="AL213"/>
  <c r="AK218"/>
  <c r="AL219"/>
  <c r="AE222"/>
  <c r="AM226"/>
  <c r="AE228"/>
  <c r="AF229"/>
  <c r="AG230"/>
  <c r="AG234"/>
  <c r="AK236"/>
  <c r="AF241"/>
  <c r="AG242"/>
  <c r="AE249"/>
  <c r="AF250"/>
  <c r="AE251"/>
  <c r="AF255"/>
  <c r="AB257"/>
  <c r="O257"/>
  <c r="AE257"/>
  <c r="AE259"/>
  <c r="X257"/>
  <c r="AK265"/>
  <c r="AV265"/>
  <c r="AU265"/>
  <c r="AV287"/>
  <c r="AL287"/>
  <c r="AU287"/>
  <c r="AK287"/>
  <c r="AT287"/>
  <c r="W285"/>
  <c r="AS287"/>
  <c r="R289"/>
  <c r="AS300"/>
  <c r="AH306"/>
  <c r="AC308"/>
  <c r="AE330"/>
  <c r="AL333"/>
  <c r="AK340"/>
  <c r="O368"/>
  <c r="AF369"/>
  <c r="AE369"/>
  <c r="R378"/>
  <c r="AE387"/>
  <c r="M386"/>
  <c r="M378"/>
  <c r="AE394"/>
  <c r="M393"/>
  <c r="P409"/>
  <c r="AF411"/>
  <c r="L571"/>
  <c r="L570"/>
  <c r="L568"/>
  <c r="L306"/>
  <c r="L305"/>
  <c r="L289"/>
  <c r="AK125"/>
  <c r="AS125"/>
  <c r="AS131"/>
  <c r="AU141"/>
  <c r="AU145"/>
  <c r="O164"/>
  <c r="AU164"/>
  <c r="AS186"/>
  <c r="AV205"/>
  <c r="AH234"/>
  <c r="AK235"/>
  <c r="AU235"/>
  <c r="AL236"/>
  <c r="AF249"/>
  <c r="AG250"/>
  <c r="AU253"/>
  <c r="AQ257"/>
  <c r="AU259"/>
  <c r="Q289"/>
  <c r="AG289"/>
  <c r="AG291"/>
  <c r="AS295"/>
  <c r="AE299"/>
  <c r="AE317"/>
  <c r="O315"/>
  <c r="AE315"/>
  <c r="AL322"/>
  <c r="AG330"/>
  <c r="AB315"/>
  <c r="AB308"/>
  <c r="AS333"/>
  <c r="AV334"/>
  <c r="AU334"/>
  <c r="AQ333"/>
  <c r="AK378"/>
  <c r="AT378"/>
  <c r="AS378"/>
  <c r="AS380"/>
  <c r="AR380"/>
  <c r="V378"/>
  <c r="AR378"/>
  <c r="AF386"/>
  <c r="AE386"/>
  <c r="AF393"/>
  <c r="AE393"/>
  <c r="AH405"/>
  <c r="AG405"/>
  <c r="AS503"/>
  <c r="AR503"/>
  <c r="V501"/>
  <c r="AV503"/>
  <c r="AU503"/>
  <c r="AQ501"/>
  <c r="Q570"/>
  <c r="AK60"/>
  <c r="AS60"/>
  <c r="AR66"/>
  <c r="AK71"/>
  <c r="AS71"/>
  <c r="AK91"/>
  <c r="AK131"/>
  <c r="AE207"/>
  <c r="AE214"/>
  <c r="AE220"/>
  <c r="AS228"/>
  <c r="AU262"/>
  <c r="AC273"/>
  <c r="AH279"/>
  <c r="AC278"/>
  <c r="AS286"/>
  <c r="AR286"/>
  <c r="V285"/>
  <c r="AE286"/>
  <c r="AB289"/>
  <c r="L322"/>
  <c r="AD322"/>
  <c r="AH333"/>
  <c r="AF337"/>
  <c r="V411"/>
  <c r="AR412"/>
  <c r="AG678"/>
  <c r="Q677"/>
  <c r="AL60"/>
  <c r="AL71"/>
  <c r="AK170"/>
  <c r="AS170"/>
  <c r="AK184"/>
  <c r="AS184"/>
  <c r="AR214"/>
  <c r="AR220"/>
  <c r="AS221"/>
  <c r="AT222"/>
  <c r="AF226"/>
  <c r="AR226"/>
  <c r="AS227"/>
  <c r="AT228"/>
  <c r="AR238"/>
  <c r="AS239"/>
  <c r="AT240"/>
  <c r="AT249"/>
  <c r="AF257"/>
  <c r="AV266"/>
  <c r="AL266"/>
  <c r="W262"/>
  <c r="AU266"/>
  <c r="AK266"/>
  <c r="AT266"/>
  <c r="AS266"/>
  <c r="AT273"/>
  <c r="AD289"/>
  <c r="AM296"/>
  <c r="Y295"/>
  <c r="AM295"/>
  <c r="AC409"/>
  <c r="AV412"/>
  <c r="AU412"/>
  <c r="AQ411"/>
  <c r="AV414"/>
  <c r="AU414"/>
  <c r="AE54"/>
  <c r="AU60"/>
  <c r="O62"/>
  <c r="AK62"/>
  <c r="AS62"/>
  <c r="AU71"/>
  <c r="AT86"/>
  <c r="AE101"/>
  <c r="AK136"/>
  <c r="AS136"/>
  <c r="AE166"/>
  <c r="AT170"/>
  <c r="V212"/>
  <c r="AR212"/>
  <c r="V218"/>
  <c r="AS218"/>
  <c r="AT221"/>
  <c r="AK222"/>
  <c r="AT227"/>
  <c r="AK228"/>
  <c r="AU228"/>
  <c r="AT239"/>
  <c r="AK240"/>
  <c r="AK249"/>
  <c r="AU252"/>
  <c r="AH254"/>
  <c r="AS254"/>
  <c r="AT259"/>
  <c r="R257"/>
  <c r="AV259"/>
  <c r="AH260"/>
  <c r="AC259"/>
  <c r="M273"/>
  <c r="AQ291"/>
  <c r="AV305"/>
  <c r="AU305"/>
  <c r="L315"/>
  <c r="L308"/>
  <c r="L15"/>
  <c r="AD315"/>
  <c r="AD308"/>
  <c r="AD15"/>
  <c r="AV324"/>
  <c r="AL324"/>
  <c r="AU324"/>
  <c r="AK324"/>
  <c r="AT324"/>
  <c r="AS324"/>
  <c r="W322"/>
  <c r="AR331"/>
  <c r="AK333"/>
  <c r="AL335"/>
  <c r="AS335"/>
  <c r="R339"/>
  <c r="R337"/>
  <c r="AT340"/>
  <c r="AG361"/>
  <c r="Q360"/>
  <c r="AH363"/>
  <c r="AG363"/>
  <c r="Y361"/>
  <c r="AM372"/>
  <c r="AF479"/>
  <c r="P478"/>
  <c r="AH537"/>
  <c r="AC536"/>
  <c r="AK52"/>
  <c r="W85"/>
  <c r="AU85"/>
  <c r="AK105"/>
  <c r="AK221"/>
  <c r="AK227"/>
  <c r="AK239"/>
  <c r="AH263"/>
  <c r="AC262"/>
  <c r="AS270"/>
  <c r="W268"/>
  <c r="AS268"/>
  <c r="AR292"/>
  <c r="V291"/>
  <c r="AM305"/>
  <c r="AR320"/>
  <c r="V317"/>
  <c r="AE320"/>
  <c r="AT334"/>
  <c r="R333"/>
  <c r="R315"/>
  <c r="R308"/>
  <c r="R15"/>
  <c r="V360"/>
  <c r="AF372"/>
  <c r="AE372"/>
  <c r="AV380"/>
  <c r="AU380"/>
  <c r="AQ378"/>
  <c r="Q412"/>
  <c r="S458"/>
  <c r="S457"/>
  <c r="S456"/>
  <c r="S454"/>
  <c r="S325"/>
  <c r="AV508"/>
  <c r="AL510"/>
  <c r="AU511"/>
  <c r="AK511"/>
  <c r="AT511"/>
  <c r="W510"/>
  <c r="AS511"/>
  <c r="P534"/>
  <c r="Q259"/>
  <c r="AK259"/>
  <c r="AL260"/>
  <c r="AV260"/>
  <c r="Q262"/>
  <c r="AG262"/>
  <c r="AL263"/>
  <c r="AV263"/>
  <c r="AK273"/>
  <c r="Q278"/>
  <c r="AG278"/>
  <c r="AK278"/>
  <c r="AL279"/>
  <c r="AV279"/>
  <c r="AC285"/>
  <c r="AC291"/>
  <c r="AV300"/>
  <c r="X305"/>
  <c r="AL305"/>
  <c r="W317"/>
  <c r="AU317"/>
  <c r="AS320"/>
  <c r="AK328"/>
  <c r="P330"/>
  <c r="Y330"/>
  <c r="AM330"/>
  <c r="AK331"/>
  <c r="AU331"/>
  <c r="Y333"/>
  <c r="AM333"/>
  <c r="O337"/>
  <c r="AK361"/>
  <c r="AU361"/>
  <c r="AK363"/>
  <c r="AS372"/>
  <c r="AF373"/>
  <c r="AK405"/>
  <c r="AH414"/>
  <c r="AS443"/>
  <c r="AT443"/>
  <c r="M457"/>
  <c r="M456"/>
  <c r="M454"/>
  <c r="X454"/>
  <c r="Q476"/>
  <c r="AG478"/>
  <c r="AV479"/>
  <c r="AU479"/>
  <c r="AQ478"/>
  <c r="S539"/>
  <c r="AF563"/>
  <c r="O562"/>
  <c r="AE562"/>
  <c r="AV564"/>
  <c r="AU564"/>
  <c r="AQ560"/>
  <c r="AQ563"/>
  <c r="AS572"/>
  <c r="L586"/>
  <c r="L533"/>
  <c r="AK618"/>
  <c r="R617"/>
  <c r="R616"/>
  <c r="R614"/>
  <c r="R613"/>
  <c r="AM259"/>
  <c r="X270"/>
  <c r="X268"/>
  <c r="AM268"/>
  <c r="P282"/>
  <c r="X299"/>
  <c r="AL299"/>
  <c r="AL300"/>
  <c r="AL306"/>
  <c r="AV306"/>
  <c r="Y317"/>
  <c r="AS318"/>
  <c r="AK320"/>
  <c r="Y322"/>
  <c r="AM322"/>
  <c r="AG324"/>
  <c r="AR334"/>
  <c r="AG335"/>
  <c r="M339"/>
  <c r="M337"/>
  <c r="M308"/>
  <c r="M15"/>
  <c r="V339"/>
  <c r="R361"/>
  <c r="AT361"/>
  <c r="AK372"/>
  <c r="AU372"/>
  <c r="X378"/>
  <c r="AL378"/>
  <c r="AF380"/>
  <c r="AF412"/>
  <c r="AR414"/>
  <c r="AE414"/>
  <c r="AS414"/>
  <c r="AV465"/>
  <c r="AU465"/>
  <c r="AQ457"/>
  <c r="AH509"/>
  <c r="Q508"/>
  <c r="Q501"/>
  <c r="AL511"/>
  <c r="AK537"/>
  <c r="AT537"/>
  <c r="W536"/>
  <c r="AH563"/>
  <c r="AC562"/>
  <c r="AH562"/>
  <c r="M560"/>
  <c r="AE560"/>
  <c r="M563"/>
  <c r="M562"/>
  <c r="AT571"/>
  <c r="AH578"/>
  <c r="AC577"/>
  <c r="AH577"/>
  <c r="AM588"/>
  <c r="Y586"/>
  <c r="AM586"/>
  <c r="X763"/>
  <c r="AE260"/>
  <c r="AE263"/>
  <c r="AS265"/>
  <c r="AG286"/>
  <c r="AG292"/>
  <c r="AT318"/>
  <c r="Q322"/>
  <c r="AG322"/>
  <c r="AL326"/>
  <c r="AS334"/>
  <c r="W339"/>
  <c r="AS340"/>
  <c r="AV372"/>
  <c r="Y378"/>
  <c r="AM378"/>
  <c r="W409"/>
  <c r="X412"/>
  <c r="AT414"/>
  <c r="AQ443"/>
  <c r="AV445"/>
  <c r="AE448"/>
  <c r="O458"/>
  <c r="AF459"/>
  <c r="AE459"/>
  <c r="AM479"/>
  <c r="Y478"/>
  <c r="AS484"/>
  <c r="AR484"/>
  <c r="AL504"/>
  <c r="X503"/>
  <c r="AS539"/>
  <c r="AR539"/>
  <c r="V537"/>
  <c r="AH552"/>
  <c r="AG552"/>
  <c r="Q537"/>
  <c r="AM688"/>
  <c r="AL688"/>
  <c r="X687"/>
  <c r="W257"/>
  <c r="V259"/>
  <c r="AF260"/>
  <c r="AR260"/>
  <c r="V262"/>
  <c r="AR262"/>
  <c r="AF263"/>
  <c r="AR263"/>
  <c r="AT265"/>
  <c r="V278"/>
  <c r="AR278"/>
  <c r="X285"/>
  <c r="AM285"/>
  <c r="AK318"/>
  <c r="AU318"/>
  <c r="AE331"/>
  <c r="AE334"/>
  <c r="AM456"/>
  <c r="Y454"/>
  <c r="AM454"/>
  <c r="AR479"/>
  <c r="V478"/>
  <c r="O509"/>
  <c r="AE510"/>
  <c r="AF552"/>
  <c r="AE552"/>
  <c r="AG562"/>
  <c r="AF562"/>
  <c r="V560"/>
  <c r="AR560"/>
  <c r="AS564"/>
  <c r="V563"/>
  <c r="AR564"/>
  <c r="S560"/>
  <c r="S563"/>
  <c r="S562"/>
  <c r="AR572"/>
  <c r="AE579"/>
  <c r="O578"/>
  <c r="AG590"/>
  <c r="Q589"/>
  <c r="AH590"/>
  <c r="AC589"/>
  <c r="P687"/>
  <c r="AF259"/>
  <c r="V330"/>
  <c r="AR330"/>
  <c r="AK334"/>
  <c r="AR361"/>
  <c r="AS386"/>
  <c r="AS393"/>
  <c r="AS411"/>
  <c r="AE443"/>
  <c r="AM445"/>
  <c r="Y443"/>
  <c r="AM443"/>
  <c r="AH457"/>
  <c r="AG457"/>
  <c r="Q456"/>
  <c r="AC476"/>
  <c r="AH478"/>
  <c r="L501"/>
  <c r="L499"/>
  <c r="L491"/>
  <c r="AC499"/>
  <c r="AC491"/>
  <c r="AF510"/>
  <c r="P509"/>
  <c r="AF558"/>
  <c r="AE558"/>
  <c r="AD568"/>
  <c r="AD533"/>
  <c r="AD356"/>
  <c r="AD353"/>
  <c r="AH571"/>
  <c r="AC570"/>
  <c r="AM663"/>
  <c r="AS278"/>
  <c r="AU299"/>
  <c r="V305"/>
  <c r="AR305"/>
  <c r="AR306"/>
  <c r="AU319"/>
  <c r="W330"/>
  <c r="AL330"/>
  <c r="AS331"/>
  <c r="X361"/>
  <c r="AS361"/>
  <c r="AS363"/>
  <c r="AT386"/>
  <c r="AT393"/>
  <c r="AS405"/>
  <c r="AT411"/>
  <c r="AL481"/>
  <c r="X479"/>
  <c r="AV484"/>
  <c r="AU484"/>
  <c r="Z491"/>
  <c r="N491"/>
  <c r="N356"/>
  <c r="AF503"/>
  <c r="AU510"/>
  <c r="L560"/>
  <c r="L563"/>
  <c r="L562"/>
  <c r="AU578"/>
  <c r="AQ577"/>
  <c r="AM579"/>
  <c r="X578"/>
  <c r="AL579"/>
  <c r="W360"/>
  <c r="AK386"/>
  <c r="AK393"/>
  <c r="AF422"/>
  <c r="Q443"/>
  <c r="AR456"/>
  <c r="V454"/>
  <c r="AR454"/>
  <c r="O478"/>
  <c r="AG503"/>
  <c r="N533"/>
  <c r="O537"/>
  <c r="V570"/>
  <c r="AG577"/>
  <c r="AV589"/>
  <c r="AU589"/>
  <c r="AQ588"/>
  <c r="P617"/>
  <c r="AS422"/>
  <c r="AG479"/>
  <c r="AS479"/>
  <c r="AF481"/>
  <c r="AR481"/>
  <c r="AF504"/>
  <c r="AE511"/>
  <c r="Y526"/>
  <c r="AQ537"/>
  <c r="AK552"/>
  <c r="AK560"/>
  <c r="W570"/>
  <c r="P571"/>
  <c r="AG571"/>
  <c r="R578"/>
  <c r="R577"/>
  <c r="AT577"/>
  <c r="AF589"/>
  <c r="AU590"/>
  <c r="AG618"/>
  <c r="AV619"/>
  <c r="AU619"/>
  <c r="AQ618"/>
  <c r="Y628"/>
  <c r="AQ664"/>
  <c r="AU665"/>
  <c r="AM678"/>
  <c r="AQ685"/>
  <c r="AR445"/>
  <c r="M484"/>
  <c r="X537"/>
  <c r="AM537"/>
  <c r="AL539"/>
  <c r="R560"/>
  <c r="R571"/>
  <c r="R570"/>
  <c r="V578"/>
  <c r="AS590"/>
  <c r="AT618"/>
  <c r="AM677"/>
  <c r="Y675"/>
  <c r="AM675"/>
  <c r="AF680"/>
  <c r="O679"/>
  <c r="AE680"/>
  <c r="V685"/>
  <c r="AE690"/>
  <c r="M689"/>
  <c r="V722"/>
  <c r="AR723"/>
  <c r="AH780"/>
  <c r="AC778"/>
  <c r="AS578"/>
  <c r="Z613"/>
  <c r="M628"/>
  <c r="M613"/>
  <c r="V638"/>
  <c r="AR638"/>
  <c r="AR639"/>
  <c r="AM658"/>
  <c r="Y657"/>
  <c r="AM657"/>
  <c r="R654"/>
  <c r="AC663"/>
  <c r="AH664"/>
  <c r="AH678"/>
  <c r="AC677"/>
  <c r="AM687"/>
  <c r="Z741"/>
  <c r="Z654"/>
  <c r="S741"/>
  <c r="V753"/>
  <c r="AR753"/>
  <c r="AR755"/>
  <c r="AC799"/>
  <c r="AH800"/>
  <c r="AG458"/>
  <c r="AS458"/>
  <c r="AV481"/>
  <c r="AH503"/>
  <c r="AT503"/>
  <c r="AG510"/>
  <c r="O572"/>
  <c r="AF572"/>
  <c r="N613"/>
  <c r="AH618"/>
  <c r="AC617"/>
  <c r="AS619"/>
  <c r="V618"/>
  <c r="AR619"/>
  <c r="AE631"/>
  <c r="O630"/>
  <c r="AS640"/>
  <c r="W639"/>
  <c r="AL639"/>
  <c r="AT640"/>
  <c r="S655"/>
  <c r="AD654"/>
  <c r="AH709"/>
  <c r="AC708"/>
  <c r="AL717"/>
  <c r="X716"/>
  <c r="AC720"/>
  <c r="AU741"/>
  <c r="W457"/>
  <c r="AR457"/>
  <c r="AT458"/>
  <c r="AR509"/>
  <c r="Y510"/>
  <c r="Y536"/>
  <c r="AE553"/>
  <c r="N563"/>
  <c r="N562"/>
  <c r="X563"/>
  <c r="AS563"/>
  <c r="AS571"/>
  <c r="AK572"/>
  <c r="AK578"/>
  <c r="AR632"/>
  <c r="V631"/>
  <c r="AS632"/>
  <c r="AE632"/>
  <c r="M640"/>
  <c r="M639"/>
  <c r="M638"/>
  <c r="AE638"/>
  <c r="AL640"/>
  <c r="AF663"/>
  <c r="AE663"/>
  <c r="O655"/>
  <c r="W663"/>
  <c r="AS664"/>
  <c r="V677"/>
  <c r="AH689"/>
  <c r="AC688"/>
  <c r="Q706"/>
  <c r="AG708"/>
  <c r="AG709"/>
  <c r="P708"/>
  <c r="AE428"/>
  <c r="AK458"/>
  <c r="AL484"/>
  <c r="X509"/>
  <c r="AF553"/>
  <c r="AE554"/>
  <c r="X560"/>
  <c r="AL560"/>
  <c r="W562"/>
  <c r="Y563"/>
  <c r="AT563"/>
  <c r="AQ570"/>
  <c r="X571"/>
  <c r="AE575"/>
  <c r="AE576"/>
  <c r="W589"/>
  <c r="AL590"/>
  <c r="O598"/>
  <c r="L628"/>
  <c r="AG639"/>
  <c r="AU640"/>
  <c r="L655"/>
  <c r="L654"/>
  <c r="AL664"/>
  <c r="AK689"/>
  <c r="R688"/>
  <c r="R687"/>
  <c r="R685"/>
  <c r="AR708"/>
  <c r="V706"/>
  <c r="AR706"/>
  <c r="M422"/>
  <c r="M412"/>
  <c r="V588"/>
  <c r="AL589"/>
  <c r="AM589"/>
  <c r="M603"/>
  <c r="AE604"/>
  <c r="AM610"/>
  <c r="Y609"/>
  <c r="L613"/>
  <c r="Y616"/>
  <c r="AE639"/>
  <c r="AF639"/>
  <c r="P638"/>
  <c r="AF638"/>
  <c r="X675"/>
  <c r="AH682"/>
  <c r="AG682"/>
  <c r="AV723"/>
  <c r="AU723"/>
  <c r="AQ722"/>
  <c r="AK723"/>
  <c r="AT723"/>
  <c r="W722"/>
  <c r="AS723"/>
  <c r="AQ630"/>
  <c r="X631"/>
  <c r="AV631"/>
  <c r="AE640"/>
  <c r="AG663"/>
  <c r="AM679"/>
  <c r="AK682"/>
  <c r="AU682"/>
  <c r="AL689"/>
  <c r="AV689"/>
  <c r="AC713"/>
  <c r="AH713"/>
  <c r="AG715"/>
  <c r="Q713"/>
  <c r="AG713"/>
  <c r="AK717"/>
  <c r="AT717"/>
  <c r="W716"/>
  <c r="X755"/>
  <c r="AE757"/>
  <c r="AR761"/>
  <c r="W764"/>
  <c r="AL764"/>
  <c r="O776"/>
  <c r="AE776"/>
  <c r="AE778"/>
  <c r="L788"/>
  <c r="AV826"/>
  <c r="R824"/>
  <c r="R822"/>
  <c r="AR826"/>
  <c r="AG878"/>
  <c r="Q877"/>
  <c r="Q617"/>
  <c r="AK632"/>
  <c r="AQ639"/>
  <c r="AG644"/>
  <c r="R678"/>
  <c r="R677"/>
  <c r="R675"/>
  <c r="Q688"/>
  <c r="AV688"/>
  <c r="AM717"/>
  <c r="AU717"/>
  <c r="AM724"/>
  <c r="AL743"/>
  <c r="X741"/>
  <c r="AV772"/>
  <c r="AU772"/>
  <c r="AQ771"/>
  <c r="AG780"/>
  <c r="Q778"/>
  <c r="AL781"/>
  <c r="X780"/>
  <c r="AL793"/>
  <c r="AK793"/>
  <c r="W792"/>
  <c r="AT793"/>
  <c r="AU793"/>
  <c r="AS793"/>
  <c r="X801"/>
  <c r="AL802"/>
  <c r="AM802"/>
  <c r="AU826"/>
  <c r="AM640"/>
  <c r="AR709"/>
  <c r="AU727"/>
  <c r="AK727"/>
  <c r="AT727"/>
  <c r="AU765"/>
  <c r="AT765"/>
  <c r="AK765"/>
  <c r="V771"/>
  <c r="AK773"/>
  <c r="AT773"/>
  <c r="W772"/>
  <c r="AR778"/>
  <c r="R788"/>
  <c r="AQ800"/>
  <c r="AV801"/>
  <c r="Y602"/>
  <c r="O619"/>
  <c r="W630"/>
  <c r="AQ678"/>
  <c r="AS679"/>
  <c r="AR689"/>
  <c r="AM708"/>
  <c r="AK710"/>
  <c r="AT710"/>
  <c r="W709"/>
  <c r="AS710"/>
  <c r="AS717"/>
  <c r="X723"/>
  <c r="AM723"/>
  <c r="AL724"/>
  <c r="AL727"/>
  <c r="AH728"/>
  <c r="AG728"/>
  <c r="Q727"/>
  <c r="Q741"/>
  <c r="AM773"/>
  <c r="AL773"/>
  <c r="X772"/>
  <c r="AV780"/>
  <c r="AU780"/>
  <c r="AQ778"/>
  <c r="Y799"/>
  <c r="AQ812"/>
  <c r="V830"/>
  <c r="X618"/>
  <c r="W678"/>
  <c r="AT679"/>
  <c r="Y722"/>
  <c r="AM741"/>
  <c r="AC741"/>
  <c r="N768"/>
  <c r="AU773"/>
  <c r="AR776"/>
  <c r="AK778"/>
  <c r="AT778"/>
  <c r="AS778"/>
  <c r="W776"/>
  <c r="W617"/>
  <c r="AL619"/>
  <c r="AT631"/>
  <c r="AK679"/>
  <c r="AS682"/>
  <c r="AE683"/>
  <c r="W688"/>
  <c r="AR688"/>
  <c r="O689"/>
  <c r="AF689"/>
  <c r="O723"/>
  <c r="W741"/>
  <c r="AS741"/>
  <c r="AS743"/>
  <c r="AD741"/>
  <c r="AV756"/>
  <c r="AQ755"/>
  <c r="Q769"/>
  <c r="Z788"/>
  <c r="O682"/>
  <c r="AV710"/>
  <c r="AU710"/>
  <c r="AQ709"/>
  <c r="V715"/>
  <c r="AR716"/>
  <c r="AV716"/>
  <c r="AU716"/>
  <c r="AQ715"/>
  <c r="O755"/>
  <c r="AE756"/>
  <c r="AT757"/>
  <c r="W756"/>
  <c r="AS757"/>
  <c r="AL757"/>
  <c r="S788"/>
  <c r="AE828"/>
  <c r="O827"/>
  <c r="O845"/>
  <c r="P771"/>
  <c r="R772"/>
  <c r="R771"/>
  <c r="R769"/>
  <c r="R768"/>
  <c r="AC772"/>
  <c r="AF780"/>
  <c r="AM780"/>
  <c r="AR781"/>
  <c r="X791"/>
  <c r="AG798"/>
  <c r="V800"/>
  <c r="AR801"/>
  <c r="AV833"/>
  <c r="AV840"/>
  <c r="M847"/>
  <c r="M845"/>
  <c r="AE848"/>
  <c r="O717"/>
  <c r="O727"/>
  <c r="AR756"/>
  <c r="O773"/>
  <c r="AS780"/>
  <c r="AC791"/>
  <c r="X812"/>
  <c r="AU816"/>
  <c r="AS816"/>
  <c r="W815"/>
  <c r="AL833"/>
  <c r="X832"/>
  <c r="AM833"/>
  <c r="Y832"/>
  <c r="O710"/>
  <c r="AG716"/>
  <c r="AR724"/>
  <c r="AE728"/>
  <c r="Y737"/>
  <c r="AF778"/>
  <c r="AR780"/>
  <c r="AE780"/>
  <c r="AV781"/>
  <c r="N788"/>
  <c r="O792"/>
  <c r="AE793"/>
  <c r="AV793"/>
  <c r="AQ792"/>
  <c r="AG800"/>
  <c r="AE800"/>
  <c r="O799"/>
  <c r="AF799"/>
  <c r="L821"/>
  <c r="AR824"/>
  <c r="V822"/>
  <c r="AE833"/>
  <c r="O832"/>
  <c r="AM847"/>
  <c r="Y845"/>
  <c r="AM845"/>
  <c r="AF951"/>
  <c r="O950"/>
  <c r="R963"/>
  <c r="R965"/>
  <c r="AL744"/>
  <c r="AT780"/>
  <c r="P791"/>
  <c r="AG801"/>
  <c r="AF801"/>
  <c r="O812"/>
  <c r="AE812"/>
  <c r="AE814"/>
  <c r="Y814"/>
  <c r="AM815"/>
  <c r="AV822"/>
  <c r="AU832"/>
  <c r="AQ830"/>
  <c r="AG834"/>
  <c r="AF834"/>
  <c r="P833"/>
  <c r="AE834"/>
  <c r="M833"/>
  <c r="M832"/>
  <c r="M830"/>
  <c r="M821"/>
  <c r="AE857"/>
  <c r="O856"/>
  <c r="AT724"/>
  <c r="AK780"/>
  <c r="AE781"/>
  <c r="V791"/>
  <c r="AU802"/>
  <c r="N821"/>
  <c r="AC832"/>
  <c r="AH833"/>
  <c r="P798"/>
  <c r="R832"/>
  <c r="R830"/>
  <c r="AK833"/>
  <c r="S834"/>
  <c r="S833"/>
  <c r="S832"/>
  <c r="S830"/>
  <c r="S821"/>
  <c r="AG840"/>
  <c r="Q832"/>
  <c r="AH840"/>
  <c r="AL874"/>
  <c r="Q792"/>
  <c r="AE816"/>
  <c r="AV824"/>
  <c r="AH834"/>
  <c r="AH858"/>
  <c r="AM859"/>
  <c r="AQ857"/>
  <c r="AU858"/>
  <c r="AQ885"/>
  <c r="AU886"/>
  <c r="AR894"/>
  <c r="R893"/>
  <c r="M905"/>
  <c r="Q908"/>
  <c r="AM937"/>
  <c r="Y935"/>
  <c r="O965"/>
  <c r="O963"/>
  <c r="AC963"/>
  <c r="AC965"/>
  <c r="AL815"/>
  <c r="AM816"/>
  <c r="W832"/>
  <c r="AL834"/>
  <c r="AK849"/>
  <c r="W858"/>
  <c r="AT859"/>
  <c r="AT878"/>
  <c r="R877"/>
  <c r="AD873"/>
  <c r="AF880"/>
  <c r="O879"/>
  <c r="AE880"/>
  <c r="AM887"/>
  <c r="AU833"/>
  <c r="AL849"/>
  <c r="AF857"/>
  <c r="M858"/>
  <c r="M857"/>
  <c r="M856"/>
  <c r="M854"/>
  <c r="W874"/>
  <c r="AS878"/>
  <c r="V878"/>
  <c r="AR879"/>
  <c r="X886"/>
  <c r="AL887"/>
  <c r="Y893"/>
  <c r="W894"/>
  <c r="AS895"/>
  <c r="AC908"/>
  <c r="AH909"/>
  <c r="W801"/>
  <c r="AR802"/>
  <c r="AS827"/>
  <c r="AE840"/>
  <c r="AG841"/>
  <c r="AS841"/>
  <c r="AH857"/>
  <c r="AR858"/>
  <c r="AL876"/>
  <c r="AS879"/>
  <c r="Y885"/>
  <c r="AL895"/>
  <c r="X894"/>
  <c r="AF1000"/>
  <c r="W826"/>
  <c r="AL826"/>
  <c r="AT827"/>
  <c r="W840"/>
  <c r="AT841"/>
  <c r="V847"/>
  <c r="AM848"/>
  <c r="AE849"/>
  <c r="AQ848"/>
  <c r="AU849"/>
  <c r="AU827"/>
  <c r="AK841"/>
  <c r="W848"/>
  <c r="AL848"/>
  <c r="AV858"/>
  <c r="AK859"/>
  <c r="AE894"/>
  <c r="O893"/>
  <c r="AT895"/>
  <c r="Y856"/>
  <c r="AG858"/>
  <c r="Q857"/>
  <c r="X858"/>
  <c r="AL859"/>
  <c r="AM877"/>
  <c r="Y876"/>
  <c r="AH878"/>
  <c r="AC877"/>
  <c r="AF879"/>
  <c r="AV879"/>
  <c r="AU879"/>
  <c r="AQ878"/>
  <c r="V882"/>
  <c r="V890"/>
  <c r="AF894"/>
  <c r="P893"/>
  <c r="AG894"/>
  <c r="AG911"/>
  <c r="AF911"/>
  <c r="P910"/>
  <c r="P878"/>
  <c r="AK878"/>
  <c r="AC892"/>
  <c r="AQ893"/>
  <c r="Y908"/>
  <c r="AH910"/>
  <c r="AQ931"/>
  <c r="AS935"/>
  <c r="W934"/>
  <c r="AU934"/>
  <c r="AE944"/>
  <c r="M943"/>
  <c r="M287"/>
  <c r="M285"/>
  <c r="M282"/>
  <c r="V949"/>
  <c r="M951"/>
  <c r="M950"/>
  <c r="M949"/>
  <c r="M947"/>
  <c r="AE952"/>
  <c r="P963"/>
  <c r="P965"/>
  <c r="AL976"/>
  <c r="AV859"/>
  <c r="R886"/>
  <c r="AS886"/>
  <c r="AF937"/>
  <c r="AE937"/>
  <c r="M935"/>
  <c r="M934"/>
  <c r="M933"/>
  <c r="M931"/>
  <c r="AG950"/>
  <c r="AF950"/>
  <c r="P949"/>
  <c r="AH951"/>
  <c r="AC950"/>
  <c r="V963"/>
  <c r="V965"/>
  <c r="R848"/>
  <c r="R847"/>
  <c r="R845"/>
  <c r="AG879"/>
  <c r="W885"/>
  <c r="AR887"/>
  <c r="V931"/>
  <c r="X933"/>
  <c r="P934"/>
  <c r="Y965"/>
  <c r="Y963"/>
  <c r="L963"/>
  <c r="L930"/>
  <c r="L965"/>
  <c r="AR975"/>
  <c r="V1049"/>
  <c r="AR1050"/>
  <c r="AM910"/>
  <c r="X909"/>
  <c r="AG935"/>
  <c r="Q934"/>
  <c r="AC934"/>
  <c r="AH935"/>
  <c r="X950"/>
  <c r="AL951"/>
  <c r="AT976"/>
  <c r="AK976"/>
  <c r="AS976"/>
  <c r="W975"/>
  <c r="AU987"/>
  <c r="AK987"/>
  <c r="AT987"/>
  <c r="AS987"/>
  <c r="AE895"/>
  <c r="AV909"/>
  <c r="AQ908"/>
  <c r="AM950"/>
  <c r="Y949"/>
  <c r="X963"/>
  <c r="AE972"/>
  <c r="AR973"/>
  <c r="V972"/>
  <c r="AR972"/>
  <c r="V908"/>
  <c r="AR909"/>
  <c r="Z930"/>
  <c r="AR951"/>
  <c r="R950"/>
  <c r="R949"/>
  <c r="R947"/>
  <c r="AQ949"/>
  <c r="AV950"/>
  <c r="Z963"/>
  <c r="Z965"/>
  <c r="W910"/>
  <c r="AU910"/>
  <c r="O911"/>
  <c r="AF912"/>
  <c r="AG937"/>
  <c r="AS937"/>
  <c r="AV951"/>
  <c r="AL952"/>
  <c r="M963"/>
  <c r="W963"/>
  <c r="AQ963"/>
  <c r="AE977"/>
  <c r="AR977"/>
  <c r="AU989"/>
  <c r="AK989"/>
  <c r="AT989"/>
  <c r="AS989"/>
  <c r="AE992"/>
  <c r="AU995"/>
  <c r="AK995"/>
  <c r="AT995"/>
  <c r="AS995"/>
  <c r="AF1037"/>
  <c r="AE1037"/>
  <c r="AK937"/>
  <c r="Y976"/>
  <c r="AR976"/>
  <c r="AG986"/>
  <c r="O1000"/>
  <c r="AE1000"/>
  <c r="AE1001"/>
  <c r="O1035"/>
  <c r="AE1035"/>
  <c r="AF1036"/>
  <c r="AE1036"/>
  <c r="AM1042"/>
  <c r="R935"/>
  <c r="AV935"/>
  <c r="AL937"/>
  <c r="AV937"/>
  <c r="X973"/>
  <c r="AH1010"/>
  <c r="AG1010"/>
  <c r="Q1009"/>
  <c r="AE976"/>
  <c r="S977"/>
  <c r="S976"/>
  <c r="S975"/>
  <c r="S973"/>
  <c r="S972"/>
  <c r="AR986"/>
  <c r="O987"/>
  <c r="AE989"/>
  <c r="AU992"/>
  <c r="AK992"/>
  <c r="AT992"/>
  <c r="AS992"/>
  <c r="AF998"/>
  <c r="AE998"/>
  <c r="O1048"/>
  <c r="AV1050"/>
  <c r="AU1050"/>
  <c r="AQ1049"/>
  <c r="AR1056"/>
  <c r="V1054"/>
  <c r="AR1054"/>
  <c r="AS943"/>
  <c r="AS951"/>
  <c r="AT977"/>
  <c r="AS977"/>
  <c r="AG1000"/>
  <c r="AF1001"/>
  <c r="AQ1007"/>
  <c r="AV1009"/>
  <c r="AF1029"/>
  <c r="AE1029"/>
  <c r="AG1043"/>
  <c r="P1042"/>
  <c r="AF1048"/>
  <c r="AT1057"/>
  <c r="W1056"/>
  <c r="AK1057"/>
  <c r="AS1057"/>
  <c r="O943"/>
  <c r="AT943"/>
  <c r="W950"/>
  <c r="AT951"/>
  <c r="AL977"/>
  <c r="P986"/>
  <c r="Z986"/>
  <c r="Z984"/>
  <c r="Z983"/>
  <c r="Z981"/>
  <c r="AF997"/>
  <c r="AE997"/>
  <c r="O995"/>
  <c r="AU1001"/>
  <c r="AK1001"/>
  <c r="AT1001"/>
  <c r="W1000"/>
  <c r="AS1001"/>
  <c r="AH1012"/>
  <c r="AG1012"/>
  <c r="X1010"/>
  <c r="AL1020"/>
  <c r="AC1048"/>
  <c r="AK943"/>
  <c r="AK951"/>
  <c r="AE975"/>
  <c r="AM1010"/>
  <c r="AF1028"/>
  <c r="AE1028"/>
  <c r="O1020"/>
  <c r="AF1020"/>
  <c r="AU1042"/>
  <c r="AE1052"/>
  <c r="M1050"/>
  <c r="X1056"/>
  <c r="AL1057"/>
  <c r="O1057"/>
  <c r="AE1058"/>
  <c r="AF1058"/>
  <c r="AU1105"/>
  <c r="AQ976"/>
  <c r="R986"/>
  <c r="R1000"/>
  <c r="AV1000"/>
  <c r="AC1000"/>
  <c r="AH1000"/>
  <c r="AU1010"/>
  <c r="M1020"/>
  <c r="W1042"/>
  <c r="O1043"/>
  <c r="AF1043"/>
  <c r="Q1049"/>
  <c r="AV1058"/>
  <c r="AM1074"/>
  <c r="AE1119"/>
  <c r="AG987"/>
  <c r="AF990"/>
  <c r="AF993"/>
  <c r="AG1001"/>
  <c r="AF1050"/>
  <c r="AR1057"/>
  <c r="Y1064"/>
  <c r="AE1088"/>
  <c r="M1087"/>
  <c r="M1081"/>
  <c r="M1067"/>
  <c r="M1065"/>
  <c r="N1111"/>
  <c r="N1109"/>
  <c r="N1064"/>
  <c r="N1062"/>
  <c r="O1109"/>
  <c r="AF1119"/>
  <c r="AU1020"/>
  <c r="AS1050"/>
  <c r="Q1056"/>
  <c r="AG1058"/>
  <c r="AM1067"/>
  <c r="L1067"/>
  <c r="L1065"/>
  <c r="L1064"/>
  <c r="L1062"/>
  <c r="AM1071"/>
  <c r="AF1087"/>
  <c r="AF1096"/>
  <c r="AE1096"/>
  <c r="AE1107"/>
  <c r="M1106"/>
  <c r="M1105"/>
  <c r="AG1112"/>
  <c r="AU1119"/>
  <c r="AK1119"/>
  <c r="AT1119"/>
  <c r="AS1119"/>
  <c r="W1112"/>
  <c r="AU1112"/>
  <c r="AR1194"/>
  <c r="V1192"/>
  <c r="AG1035"/>
  <c r="AL1069"/>
  <c r="X1067"/>
  <c r="AE1105"/>
  <c r="M1111"/>
  <c r="M1109"/>
  <c r="AL987"/>
  <c r="AL989"/>
  <c r="AL992"/>
  <c r="AL995"/>
  <c r="AL1001"/>
  <c r="AR1010"/>
  <c r="M1012"/>
  <c r="M1010"/>
  <c r="M1009"/>
  <c r="M1007"/>
  <c r="AR1012"/>
  <c r="AS1049"/>
  <c r="P1054"/>
  <c r="AF1057"/>
  <c r="AM1069"/>
  <c r="AM1077"/>
  <c r="AH1087"/>
  <c r="AC1081"/>
  <c r="AF1099"/>
  <c r="AE1099"/>
  <c r="AK1106"/>
  <c r="R1105"/>
  <c r="AK1105"/>
  <c r="AH1106"/>
  <c r="AC1105"/>
  <c r="V1112"/>
  <c r="AV1112"/>
  <c r="AQ1111"/>
  <c r="V1009"/>
  <c r="AE1044"/>
  <c r="W1048"/>
  <c r="AL1048"/>
  <c r="Y1049"/>
  <c r="AT1049"/>
  <c r="P1067"/>
  <c r="AE1071"/>
  <c r="O1069"/>
  <c r="O1081"/>
  <c r="AE1081"/>
  <c r="AG1093"/>
  <c r="P1081"/>
  <c r="AG1081"/>
  <c r="P1111"/>
  <c r="AF1112"/>
  <c r="AL1173"/>
  <c r="AL1058"/>
  <c r="AU1058"/>
  <c r="AK1058"/>
  <c r="AT1058"/>
  <c r="AS1058"/>
  <c r="AF1098"/>
  <c r="AE1098"/>
  <c r="AF1101"/>
  <c r="AS1105"/>
  <c r="AC1057"/>
  <c r="AF1069"/>
  <c r="AR1069"/>
  <c r="AE1072"/>
  <c r="AE1075"/>
  <c r="AE1078"/>
  <c r="AL1087"/>
  <c r="AV1087"/>
  <c r="O1093"/>
  <c r="AE1093"/>
  <c r="AL1106"/>
  <c r="AV1106"/>
  <c r="Q1111"/>
  <c r="R1129"/>
  <c r="Y1131"/>
  <c r="AR1175"/>
  <c r="AK1185"/>
  <c r="AV1194"/>
  <c r="AU1194"/>
  <c r="AV1195"/>
  <c r="AU1195"/>
  <c r="AG1206"/>
  <c r="AR1216"/>
  <c r="V1214"/>
  <c r="AR1214"/>
  <c r="AT1218"/>
  <c r="AK1218"/>
  <c r="W1217"/>
  <c r="AQ1057"/>
  <c r="V1081"/>
  <c r="AR1081"/>
  <c r="AQ1081"/>
  <c r="AL1083"/>
  <c r="AL1093"/>
  <c r="AV1093"/>
  <c r="Q1105"/>
  <c r="AL1105"/>
  <c r="AF1120"/>
  <c r="AH1140"/>
  <c r="AG1140"/>
  <c r="AV1175"/>
  <c r="R1173"/>
  <c r="AH1177"/>
  <c r="AC1176"/>
  <c r="AT1183"/>
  <c r="P1185"/>
  <c r="AF1186"/>
  <c r="AV1192"/>
  <c r="AU1192"/>
  <c r="AS1194"/>
  <c r="AC1192"/>
  <c r="AH1192"/>
  <c r="AH1194"/>
  <c r="AG1196"/>
  <c r="P1195"/>
  <c r="Z1195"/>
  <c r="Z1194"/>
  <c r="Z1192"/>
  <c r="Z1128"/>
  <c r="Z1126"/>
  <c r="V1203"/>
  <c r="AR1203"/>
  <c r="AR1205"/>
  <c r="AV1211"/>
  <c r="AU1211"/>
  <c r="AE1217"/>
  <c r="AU1069"/>
  <c r="AU1071"/>
  <c r="AU1074"/>
  <c r="AU1077"/>
  <c r="AE1132"/>
  <c r="AD1131"/>
  <c r="AD1129"/>
  <c r="AD1128"/>
  <c r="AD1126"/>
  <c r="Y1175"/>
  <c r="AM1176"/>
  <c r="AH1185"/>
  <c r="AC1183"/>
  <c r="AH1183"/>
  <c r="AG1200"/>
  <c r="AV1069"/>
  <c r="AS1081"/>
  <c r="AS1101"/>
  <c r="AR1106"/>
  <c r="L1128"/>
  <c r="L1126"/>
  <c r="AH1137"/>
  <c r="AG1137"/>
  <c r="Q1132"/>
  <c r="V1144"/>
  <c r="AR1156"/>
  <c r="AS1192"/>
  <c r="R1192"/>
  <c r="AK1194"/>
  <c r="AT1194"/>
  <c r="Y1057"/>
  <c r="AT1081"/>
  <c r="AS1087"/>
  <c r="AT1101"/>
  <c r="AS1106"/>
  <c r="X1111"/>
  <c r="S1131"/>
  <c r="S1129"/>
  <c r="S1128"/>
  <c r="S1126"/>
  <c r="AG1134"/>
  <c r="AF1134"/>
  <c r="P1132"/>
  <c r="AH1145"/>
  <c r="AG1145"/>
  <c r="Q1144"/>
  <c r="AL1164"/>
  <c r="X1144"/>
  <c r="AL1144"/>
  <c r="AF1175"/>
  <c r="AF1176"/>
  <c r="AK1177"/>
  <c r="AV1177"/>
  <c r="AG1185"/>
  <c r="AR1186"/>
  <c r="AL1208"/>
  <c r="AK1208"/>
  <c r="AT1208"/>
  <c r="W1206"/>
  <c r="AS1083"/>
  <c r="AT1087"/>
  <c r="AK1101"/>
  <c r="AF1151"/>
  <c r="AE1151"/>
  <c r="AF1170"/>
  <c r="O1170"/>
  <c r="AF1171"/>
  <c r="AE1171"/>
  <c r="AF1173"/>
  <c r="AV1173"/>
  <c r="AU1173"/>
  <c r="AQ1185"/>
  <c r="AT1186"/>
  <c r="AF1216"/>
  <c r="P1214"/>
  <c r="AV1156"/>
  <c r="AQ1144"/>
  <c r="AU1156"/>
  <c r="AH1169"/>
  <c r="AG1169"/>
  <c r="AR1173"/>
  <c r="AM1195"/>
  <c r="AL1195"/>
  <c r="X1194"/>
  <c r="AG1205"/>
  <c r="Q1203"/>
  <c r="AG1203"/>
  <c r="AE1216"/>
  <c r="O1214"/>
  <c r="AE1214"/>
  <c r="X1132"/>
  <c r="AM1132"/>
  <c r="AT1132"/>
  <c r="AU1134"/>
  <c r="AK1137"/>
  <c r="AK1140"/>
  <c r="AS1144"/>
  <c r="AS1151"/>
  <c r="AK1169"/>
  <c r="AU1169"/>
  <c r="AT1176"/>
  <c r="AV1187"/>
  <c r="O1196"/>
  <c r="AT1196"/>
  <c r="O1200"/>
  <c r="AE1200"/>
  <c r="AT1200"/>
  <c r="AQ1206"/>
  <c r="AF1217"/>
  <c r="AE1218"/>
  <c r="AV1218"/>
  <c r="W1131"/>
  <c r="AK1132"/>
  <c r="P1144"/>
  <c r="AF1144"/>
  <c r="AU1151"/>
  <c r="AE1157"/>
  <c r="AT1164"/>
  <c r="AS1175"/>
  <c r="AH1187"/>
  <c r="AH1195"/>
  <c r="AT1195"/>
  <c r="AV1196"/>
  <c r="AC1205"/>
  <c r="AR1211"/>
  <c r="Y1217"/>
  <c r="AS1156"/>
  <c r="AU1164"/>
  <c r="AR1170"/>
  <c r="W1173"/>
  <c r="AT1175"/>
  <c r="AK1183"/>
  <c r="V1185"/>
  <c r="AT1185"/>
  <c r="AK1187"/>
  <c r="AU1208"/>
  <c r="AT1156"/>
  <c r="AK1175"/>
  <c r="AU1175"/>
  <c r="AS1177"/>
  <c r="AK1156"/>
  <c r="AT1170"/>
  <c r="AT1177"/>
  <c r="AR1217"/>
  <c r="AS1134"/>
  <c r="AS1137"/>
  <c r="AS1140"/>
  <c r="AS1169"/>
  <c r="AU1170"/>
  <c r="AU1177"/>
  <c r="AR1196"/>
  <c r="AE1197"/>
  <c r="AE1198"/>
  <c r="AE1201"/>
  <c r="AL1211"/>
  <c r="S333"/>
  <c r="AA289"/>
  <c r="S965"/>
  <c r="S203"/>
  <c r="AA248"/>
  <c r="AA233"/>
  <c r="AA322"/>
  <c r="S378"/>
  <c r="S412"/>
  <c r="S411"/>
  <c r="S409"/>
  <c r="S361"/>
  <c r="S628"/>
  <c r="S613"/>
  <c r="AA224"/>
  <c r="AA203"/>
  <c r="AA317"/>
  <c r="U48"/>
  <c r="U11"/>
  <c r="U13"/>
  <c r="U17"/>
  <c r="U26"/>
  <c r="S935"/>
  <c r="S934"/>
  <c r="S933"/>
  <c r="S931"/>
  <c r="S930"/>
  <c r="S322"/>
  <c r="S315"/>
  <c r="S308"/>
  <c r="S15"/>
  <c r="S654"/>
  <c r="S233"/>
  <c r="S306"/>
  <c r="S305"/>
  <c r="S509"/>
  <c r="S508"/>
  <c r="S501"/>
  <c r="S499"/>
  <c r="S491"/>
  <c r="S292"/>
  <c r="S291"/>
  <c r="S568"/>
  <c r="S910"/>
  <c r="S909"/>
  <c r="S908"/>
  <c r="S906"/>
  <c r="S905"/>
  <c r="S279"/>
  <c r="S278"/>
  <c r="S273"/>
  <c r="Q499"/>
  <c r="AH501"/>
  <c r="N353"/>
  <c r="Z356"/>
  <c r="Z353"/>
  <c r="M360"/>
  <c r="M358"/>
  <c r="AE378"/>
  <c r="N15"/>
  <c r="N16"/>
  <c r="N199"/>
  <c r="L356"/>
  <c r="L353"/>
  <c r="AV1081"/>
  <c r="AU1081"/>
  <c r="AQ1067"/>
  <c r="AK756"/>
  <c r="AT756"/>
  <c r="W755"/>
  <c r="AS756"/>
  <c r="AT678"/>
  <c r="W677"/>
  <c r="AS678"/>
  <c r="AK678"/>
  <c r="AL678"/>
  <c r="AL571"/>
  <c r="X570"/>
  <c r="M688"/>
  <c r="M687"/>
  <c r="M685"/>
  <c r="M654"/>
  <c r="M306"/>
  <c r="M305"/>
  <c r="M289"/>
  <c r="S537"/>
  <c r="S536"/>
  <c r="S534"/>
  <c r="S229"/>
  <c r="S224"/>
  <c r="AV333"/>
  <c r="AU333"/>
  <c r="V50"/>
  <c r="AR69"/>
  <c r="AU273"/>
  <c r="AV273"/>
  <c r="O69"/>
  <c r="AE71"/>
  <c r="AF71"/>
  <c r="AU184"/>
  <c r="AQ182"/>
  <c r="AV184"/>
  <c r="AU1131"/>
  <c r="AT1131"/>
  <c r="W1129"/>
  <c r="AK1131"/>
  <c r="AE1196"/>
  <c r="O1195"/>
  <c r="AF1195"/>
  <c r="AL1194"/>
  <c r="X1192"/>
  <c r="AV1144"/>
  <c r="AU1144"/>
  <c r="X1109"/>
  <c r="AM1111"/>
  <c r="AK1192"/>
  <c r="AT1192"/>
  <c r="Q1054"/>
  <c r="AG1054"/>
  <c r="AG1056"/>
  <c r="M1064"/>
  <c r="M1062"/>
  <c r="AG1049"/>
  <c r="Q1048"/>
  <c r="AV986"/>
  <c r="R984"/>
  <c r="AL1056"/>
  <c r="X1054"/>
  <c r="AL1054"/>
  <c r="AH1049"/>
  <c r="W1054"/>
  <c r="AK1056"/>
  <c r="AS1056"/>
  <c r="AT1056"/>
  <c r="O986"/>
  <c r="AE987"/>
  <c r="AF987"/>
  <c r="AM949"/>
  <c r="Y947"/>
  <c r="X908"/>
  <c r="AT801"/>
  <c r="W800"/>
  <c r="AS801"/>
  <c r="AK801"/>
  <c r="AL886"/>
  <c r="X885"/>
  <c r="AK832"/>
  <c r="AT832"/>
  <c r="AS832"/>
  <c r="W830"/>
  <c r="AQ884"/>
  <c r="AU885"/>
  <c r="AG792"/>
  <c r="Q791"/>
  <c r="AE856"/>
  <c r="O854"/>
  <c r="AF856"/>
  <c r="AV830"/>
  <c r="AU830"/>
  <c r="AM832"/>
  <c r="Y830"/>
  <c r="O716"/>
  <c r="AE717"/>
  <c r="AF717"/>
  <c r="AR800"/>
  <c r="V799"/>
  <c r="O722"/>
  <c r="AF723"/>
  <c r="AE723"/>
  <c r="Y798"/>
  <c r="AQ677"/>
  <c r="AU678"/>
  <c r="AV678"/>
  <c r="AT792"/>
  <c r="AS792"/>
  <c r="W791"/>
  <c r="AK792"/>
  <c r="Q876"/>
  <c r="AU722"/>
  <c r="AV722"/>
  <c r="AQ720"/>
  <c r="M411"/>
  <c r="AE412"/>
  <c r="AS663"/>
  <c r="W655"/>
  <c r="AS631"/>
  <c r="AR631"/>
  <c r="V630"/>
  <c r="X562"/>
  <c r="AL562"/>
  <c r="AL563"/>
  <c r="AT457"/>
  <c r="W456"/>
  <c r="AS457"/>
  <c r="AK457"/>
  <c r="AL457"/>
  <c r="AC655"/>
  <c r="AH663"/>
  <c r="AR722"/>
  <c r="V720"/>
  <c r="AR720"/>
  <c r="W568"/>
  <c r="AK570"/>
  <c r="AS570"/>
  <c r="AT570"/>
  <c r="AV588"/>
  <c r="AQ586"/>
  <c r="AE422"/>
  <c r="AM578"/>
  <c r="X577"/>
  <c r="AL578"/>
  <c r="AL479"/>
  <c r="X478"/>
  <c r="AM478"/>
  <c r="Y476"/>
  <c r="AK536"/>
  <c r="AT536"/>
  <c r="W534"/>
  <c r="Q475"/>
  <c r="AV378"/>
  <c r="AU378"/>
  <c r="AC534"/>
  <c r="O60"/>
  <c r="AF62"/>
  <c r="AE62"/>
  <c r="AH322"/>
  <c r="AE164"/>
  <c r="AK285"/>
  <c r="AT285"/>
  <c r="AS285"/>
  <c r="W282"/>
  <c r="AV285"/>
  <c r="AQ282"/>
  <c r="AU285"/>
  <c r="AC358"/>
  <c r="AH360"/>
  <c r="AR248"/>
  <c r="W134"/>
  <c r="AT145"/>
  <c r="AK145"/>
  <c r="AS145"/>
  <c r="L201"/>
  <c r="M164"/>
  <c r="AE170"/>
  <c r="P77"/>
  <c r="AG77"/>
  <c r="AF79"/>
  <c r="AR203"/>
  <c r="AE248"/>
  <c r="AF212"/>
  <c r="AE173"/>
  <c r="M12"/>
  <c r="AE12"/>
  <c r="AV976"/>
  <c r="AQ975"/>
  <c r="AU976"/>
  <c r="AQ877"/>
  <c r="AU878"/>
  <c r="AV878"/>
  <c r="Q906"/>
  <c r="AM814"/>
  <c r="Y812"/>
  <c r="AM812"/>
  <c r="AE689"/>
  <c r="O688"/>
  <c r="AG688"/>
  <c r="Q687"/>
  <c r="AE655"/>
  <c r="X761"/>
  <c r="AF1214"/>
  <c r="P1194"/>
  <c r="AG1195"/>
  <c r="AM1144"/>
  <c r="P1109"/>
  <c r="AF1109"/>
  <c r="AF1111"/>
  <c r="AE1069"/>
  <c r="O1067"/>
  <c r="V1067"/>
  <c r="W1009"/>
  <c r="AK1042"/>
  <c r="AT1042"/>
  <c r="AS1042"/>
  <c r="AR1000"/>
  <c r="X1009"/>
  <c r="AL1010"/>
  <c r="AE995"/>
  <c r="AF995"/>
  <c r="AS950"/>
  <c r="AT950"/>
  <c r="W949"/>
  <c r="AK950"/>
  <c r="AU950"/>
  <c r="AV1007"/>
  <c r="X972"/>
  <c r="AQ906"/>
  <c r="AV908"/>
  <c r="AL950"/>
  <c r="X949"/>
  <c r="AT935"/>
  <c r="AM909"/>
  <c r="X857"/>
  <c r="AL858"/>
  <c r="AR848"/>
  <c r="AH908"/>
  <c r="AC906"/>
  <c r="R876"/>
  <c r="AT877"/>
  <c r="AK877"/>
  <c r="AV857"/>
  <c r="AQ856"/>
  <c r="AV832"/>
  <c r="Y736"/>
  <c r="AM737"/>
  <c r="AL832"/>
  <c r="X830"/>
  <c r="AC789"/>
  <c r="AH791"/>
  <c r="X789"/>
  <c r="AL791"/>
  <c r="AE845"/>
  <c r="AU709"/>
  <c r="AV709"/>
  <c r="AQ708"/>
  <c r="AV755"/>
  <c r="AQ753"/>
  <c r="AK776"/>
  <c r="AT776"/>
  <c r="AS776"/>
  <c r="X617"/>
  <c r="AL618"/>
  <c r="AK709"/>
  <c r="AT709"/>
  <c r="W708"/>
  <c r="AS709"/>
  <c r="O618"/>
  <c r="AE619"/>
  <c r="O237"/>
  <c r="AK772"/>
  <c r="AT772"/>
  <c r="W771"/>
  <c r="AS772"/>
  <c r="AL741"/>
  <c r="AL755"/>
  <c r="X753"/>
  <c r="X630"/>
  <c r="AL631"/>
  <c r="AM631"/>
  <c r="AG638"/>
  <c r="AQ568"/>
  <c r="AV570"/>
  <c r="AU570"/>
  <c r="M479"/>
  <c r="AE484"/>
  <c r="AL663"/>
  <c r="AU577"/>
  <c r="AV577"/>
  <c r="X360"/>
  <c r="AL361"/>
  <c r="V562"/>
  <c r="AR562"/>
  <c r="AR563"/>
  <c r="AE509"/>
  <c r="O508"/>
  <c r="P628"/>
  <c r="AM503"/>
  <c r="AL503"/>
  <c r="AK409"/>
  <c r="AT409"/>
  <c r="AU563"/>
  <c r="AQ562"/>
  <c r="AV563"/>
  <c r="M533"/>
  <c r="AF330"/>
  <c r="P315"/>
  <c r="AC289"/>
  <c r="AH289"/>
  <c r="AH291"/>
  <c r="AM270"/>
  <c r="AR291"/>
  <c r="V289"/>
  <c r="AR289"/>
  <c r="P476"/>
  <c r="AF478"/>
  <c r="Q358"/>
  <c r="AG360"/>
  <c r="V499"/>
  <c r="AR501"/>
  <c r="P357"/>
  <c r="AF409"/>
  <c r="O361"/>
  <c r="AF368"/>
  <c r="AE368"/>
  <c r="AG218"/>
  <c r="Q216"/>
  <c r="AM299"/>
  <c r="AE255"/>
  <c r="W173"/>
  <c r="AU175"/>
  <c r="AT175"/>
  <c r="AK175"/>
  <c r="AS175"/>
  <c r="AV330"/>
  <c r="AT164"/>
  <c r="AK164"/>
  <c r="AS164"/>
  <c r="S46"/>
  <c r="S11"/>
  <c r="S13"/>
  <c r="AR1009"/>
  <c r="V1007"/>
  <c r="O830"/>
  <c r="AE830"/>
  <c r="AE832"/>
  <c r="P769"/>
  <c r="AU778"/>
  <c r="AV778"/>
  <c r="AQ776"/>
  <c r="AM609"/>
  <c r="Y608"/>
  <c r="AM1217"/>
  <c r="Y1216"/>
  <c r="AL1132"/>
  <c r="X1131"/>
  <c r="O1169"/>
  <c r="AE1170"/>
  <c r="AR1144"/>
  <c r="V1131"/>
  <c r="AM1175"/>
  <c r="Y1173"/>
  <c r="AM1173"/>
  <c r="AF1196"/>
  <c r="AF1185"/>
  <c r="P1183"/>
  <c r="AQ1056"/>
  <c r="AV1057"/>
  <c r="AU1057"/>
  <c r="R1128"/>
  <c r="R1126"/>
  <c r="AV1129"/>
  <c r="AL1112"/>
  <c r="AQ1109"/>
  <c r="AV1111"/>
  <c r="AL1067"/>
  <c r="X1065"/>
  <c r="AV1105"/>
  <c r="P1009"/>
  <c r="AG1009"/>
  <c r="AG1042"/>
  <c r="V906"/>
  <c r="AR908"/>
  <c r="AT975"/>
  <c r="AS975"/>
  <c r="AK975"/>
  <c r="W973"/>
  <c r="V1048"/>
  <c r="AR1049"/>
  <c r="P947"/>
  <c r="AG949"/>
  <c r="AV893"/>
  <c r="AQ892"/>
  <c r="P892"/>
  <c r="AG893"/>
  <c r="AF893"/>
  <c r="AG857"/>
  <c r="Q856"/>
  <c r="AM885"/>
  <c r="Y884"/>
  <c r="V877"/>
  <c r="AR878"/>
  <c r="AR822"/>
  <c r="V821"/>
  <c r="AH792"/>
  <c r="AL792"/>
  <c r="AE847"/>
  <c r="AU756"/>
  <c r="AS688"/>
  <c r="AT688"/>
  <c r="W687"/>
  <c r="AK688"/>
  <c r="AU688"/>
  <c r="AR830"/>
  <c r="AM602"/>
  <c r="Y601"/>
  <c r="AL780"/>
  <c r="X778"/>
  <c r="AF776"/>
  <c r="AK716"/>
  <c r="AT716"/>
  <c r="W715"/>
  <c r="AS716"/>
  <c r="AV630"/>
  <c r="AU630"/>
  <c r="AC687"/>
  <c r="AH688"/>
  <c r="AM618"/>
  <c r="Y534"/>
  <c r="AC616"/>
  <c r="AH617"/>
  <c r="AF655"/>
  <c r="AR687"/>
  <c r="AV537"/>
  <c r="AU537"/>
  <c r="AQ536"/>
  <c r="O476"/>
  <c r="Y655"/>
  <c r="P685"/>
  <c r="AE578"/>
  <c r="O577"/>
  <c r="AE577"/>
  <c r="Q536"/>
  <c r="AH536"/>
  <c r="AG537"/>
  <c r="AU560"/>
  <c r="AV560"/>
  <c r="V315"/>
  <c r="AR317"/>
  <c r="V273"/>
  <c r="AK577"/>
  <c r="Q675"/>
  <c r="AG677"/>
  <c r="AL257"/>
  <c r="AG282"/>
  <c r="X216"/>
  <c r="AL218"/>
  <c r="AS69"/>
  <c r="Y216"/>
  <c r="AM216"/>
  <c r="AT203"/>
  <c r="AH77"/>
  <c r="AF145"/>
  <c r="AM257"/>
  <c r="AV77"/>
  <c r="AU248"/>
  <c r="AV248"/>
  <c r="W103"/>
  <c r="AT114"/>
  <c r="AS114"/>
  <c r="AK114"/>
  <c r="AK203"/>
  <c r="AR847"/>
  <c r="V845"/>
  <c r="AR845"/>
  <c r="AR715"/>
  <c r="V713"/>
  <c r="AR713"/>
  <c r="Q723"/>
  <c r="AH727"/>
  <c r="AG727"/>
  <c r="AL412"/>
  <c r="X411"/>
  <c r="AQ456"/>
  <c r="AU457"/>
  <c r="AV457"/>
  <c r="AC15"/>
  <c r="AG209"/>
  <c r="AH209"/>
  <c r="O77"/>
  <c r="AE77"/>
  <c r="AE79"/>
  <c r="AK224"/>
  <c r="AT224"/>
  <c r="AS224"/>
  <c r="AG205"/>
  <c r="Q203"/>
  <c r="AH205"/>
  <c r="V1183"/>
  <c r="AR1183"/>
  <c r="AR1185"/>
  <c r="AV1206"/>
  <c r="AU1206"/>
  <c r="AQ1205"/>
  <c r="W1205"/>
  <c r="AK1206"/>
  <c r="AT1206"/>
  <c r="AS1206"/>
  <c r="AF1132"/>
  <c r="P1131"/>
  <c r="AG1132"/>
  <c r="Q1131"/>
  <c r="AH1132"/>
  <c r="AL1206"/>
  <c r="W1216"/>
  <c r="AT1217"/>
  <c r="AK1217"/>
  <c r="AG1111"/>
  <c r="Q1109"/>
  <c r="AR1105"/>
  <c r="AH1111"/>
  <c r="P1065"/>
  <c r="AE1111"/>
  <c r="Y1062"/>
  <c r="AF943"/>
  <c r="AE943"/>
  <c r="O287"/>
  <c r="AU1049"/>
  <c r="AQ1048"/>
  <c r="AV1049"/>
  <c r="AC933"/>
  <c r="AH934"/>
  <c r="P933"/>
  <c r="AS885"/>
  <c r="W884"/>
  <c r="AC890"/>
  <c r="AH890"/>
  <c r="AH892"/>
  <c r="AE858"/>
  <c r="AT840"/>
  <c r="AS840"/>
  <c r="AU840"/>
  <c r="AK840"/>
  <c r="AL840"/>
  <c r="AM886"/>
  <c r="AS894"/>
  <c r="AU894"/>
  <c r="AT894"/>
  <c r="AK894"/>
  <c r="W893"/>
  <c r="AU893"/>
  <c r="R892"/>
  <c r="AR893"/>
  <c r="Q830"/>
  <c r="P796"/>
  <c r="AF798"/>
  <c r="AR791"/>
  <c r="V789"/>
  <c r="AE950"/>
  <c r="O949"/>
  <c r="AE792"/>
  <c r="O791"/>
  <c r="O826"/>
  <c r="AE827"/>
  <c r="AE755"/>
  <c r="O753"/>
  <c r="AE753"/>
  <c r="Y720"/>
  <c r="AR832"/>
  <c r="AL772"/>
  <c r="X771"/>
  <c r="AM858"/>
  <c r="AL801"/>
  <c r="X800"/>
  <c r="AM801"/>
  <c r="X292"/>
  <c r="AV639"/>
  <c r="AU639"/>
  <c r="AQ638"/>
  <c r="AE603"/>
  <c r="M602"/>
  <c r="M236"/>
  <c r="AE236"/>
  <c r="Y562"/>
  <c r="AM562"/>
  <c r="AM563"/>
  <c r="Y509"/>
  <c r="AM510"/>
  <c r="Y292"/>
  <c r="AL716"/>
  <c r="X715"/>
  <c r="W638"/>
  <c r="AK639"/>
  <c r="AT639"/>
  <c r="AS639"/>
  <c r="AR685"/>
  <c r="AM526"/>
  <c r="Y524"/>
  <c r="W358"/>
  <c r="AS360"/>
  <c r="AV578"/>
  <c r="Y411"/>
  <c r="AS330"/>
  <c r="AT330"/>
  <c r="AK330"/>
  <c r="AF509"/>
  <c r="P508"/>
  <c r="V476"/>
  <c r="AR478"/>
  <c r="O457"/>
  <c r="AF458"/>
  <c r="AE458"/>
  <c r="AH508"/>
  <c r="AQ476"/>
  <c r="AV478"/>
  <c r="AU478"/>
  <c r="AH285"/>
  <c r="AC282"/>
  <c r="AH282"/>
  <c r="AM412"/>
  <c r="AV322"/>
  <c r="AK322"/>
  <c r="AT322"/>
  <c r="AS322"/>
  <c r="AQ315"/>
  <c r="AT333"/>
  <c r="AR333"/>
  <c r="AK476"/>
  <c r="AT476"/>
  <c r="W475"/>
  <c r="AS476"/>
  <c r="AG305"/>
  <c r="AH305"/>
  <c r="AE218"/>
  <c r="AM218"/>
  <c r="AG134"/>
  <c r="AL134"/>
  <c r="AV1216"/>
  <c r="AQ1214"/>
  <c r="AV1214"/>
  <c r="AH248"/>
  <c r="AE224"/>
  <c r="AE160"/>
  <c r="M157"/>
  <c r="AE157"/>
  <c r="AL145"/>
  <c r="AG212"/>
  <c r="AH212"/>
  <c r="V173"/>
  <c r="AR175"/>
  <c r="N17"/>
  <c r="N26"/>
  <c r="AM1131"/>
  <c r="Y1129"/>
  <c r="AK1112"/>
  <c r="AT1112"/>
  <c r="W1111"/>
  <c r="AL1111"/>
  <c r="AS1112"/>
  <c r="AE1043"/>
  <c r="O1042"/>
  <c r="AE1042"/>
  <c r="AC949"/>
  <c r="AH950"/>
  <c r="X508"/>
  <c r="AH1205"/>
  <c r="AC1203"/>
  <c r="AH1203"/>
  <c r="AQ1183"/>
  <c r="AV1185"/>
  <c r="AM1057"/>
  <c r="Y1056"/>
  <c r="AF1200"/>
  <c r="AC1175"/>
  <c r="AH1176"/>
  <c r="AG1105"/>
  <c r="Q1067"/>
  <c r="AH1081"/>
  <c r="AC1067"/>
  <c r="AE1109"/>
  <c r="AE1087"/>
  <c r="AF1035"/>
  <c r="R934"/>
  <c r="AK935"/>
  <c r="AQ947"/>
  <c r="AV949"/>
  <c r="AU949"/>
  <c r="Q933"/>
  <c r="AG934"/>
  <c r="AK886"/>
  <c r="R885"/>
  <c r="AR886"/>
  <c r="AR950"/>
  <c r="AQ930"/>
  <c r="AC876"/>
  <c r="AH877"/>
  <c r="Y854"/>
  <c r="AT886"/>
  <c r="Y892"/>
  <c r="AS858"/>
  <c r="AK858"/>
  <c r="W857"/>
  <c r="AT858"/>
  <c r="P832"/>
  <c r="AG832"/>
  <c r="AF833"/>
  <c r="AG833"/>
  <c r="AE951"/>
  <c r="AU815"/>
  <c r="AS815"/>
  <c r="W814"/>
  <c r="O772"/>
  <c r="AE773"/>
  <c r="AF773"/>
  <c r="AQ713"/>
  <c r="AU715"/>
  <c r="AV715"/>
  <c r="AF682"/>
  <c r="AE682"/>
  <c r="AU801"/>
  <c r="AR772"/>
  <c r="Q776"/>
  <c r="AG776"/>
  <c r="AG778"/>
  <c r="AK722"/>
  <c r="AT722"/>
  <c r="AS722"/>
  <c r="W720"/>
  <c r="AS562"/>
  <c r="AT562"/>
  <c r="AK562"/>
  <c r="AR678"/>
  <c r="AC675"/>
  <c r="AH677"/>
  <c r="AH778"/>
  <c r="AC776"/>
  <c r="V577"/>
  <c r="AR578"/>
  <c r="AV687"/>
  <c r="AV571"/>
  <c r="AR571"/>
  <c r="AC475"/>
  <c r="AH475"/>
  <c r="AH476"/>
  <c r="AL285"/>
  <c r="X282"/>
  <c r="AR259"/>
  <c r="V257"/>
  <c r="AR257"/>
  <c r="AG509"/>
  <c r="R360"/>
  <c r="R358"/>
  <c r="R357"/>
  <c r="AV361"/>
  <c r="AE337"/>
  <c r="AK510"/>
  <c r="AT510"/>
  <c r="W509"/>
  <c r="AS510"/>
  <c r="W292"/>
  <c r="W79"/>
  <c r="AS85"/>
  <c r="AK85"/>
  <c r="AT85"/>
  <c r="AH259"/>
  <c r="AC257"/>
  <c r="AH257"/>
  <c r="AR218"/>
  <c r="V216"/>
  <c r="V201"/>
  <c r="AT262"/>
  <c r="AS262"/>
  <c r="AK262"/>
  <c r="AL262"/>
  <c r="AV262"/>
  <c r="Q315"/>
  <c r="Q568"/>
  <c r="AU257"/>
  <c r="AV257"/>
  <c r="AS478"/>
  <c r="X203"/>
  <c r="AL205"/>
  <c r="AG233"/>
  <c r="AM205"/>
  <c r="AC134"/>
  <c r="AH134"/>
  <c r="AH136"/>
  <c r="AH50"/>
  <c r="AC48"/>
  <c r="AS203"/>
  <c r="AF164"/>
  <c r="W216"/>
  <c r="AV216"/>
  <c r="AS182"/>
  <c r="AM134"/>
  <c r="AH164"/>
  <c r="P216"/>
  <c r="Q48"/>
  <c r="AG1144"/>
  <c r="AH1144"/>
  <c r="AH1057"/>
  <c r="AC1056"/>
  <c r="AM908"/>
  <c r="Y906"/>
  <c r="AL894"/>
  <c r="X893"/>
  <c r="AM893"/>
  <c r="AU792"/>
  <c r="AV792"/>
  <c r="AQ791"/>
  <c r="AG771"/>
  <c r="AK630"/>
  <c r="AT630"/>
  <c r="W628"/>
  <c r="AS630"/>
  <c r="AL756"/>
  <c r="AS618"/>
  <c r="V617"/>
  <c r="AS617"/>
  <c r="AR618"/>
  <c r="AL537"/>
  <c r="X536"/>
  <c r="Q588"/>
  <c r="AG589"/>
  <c r="Q257"/>
  <c r="AG257"/>
  <c r="AG259"/>
  <c r="AU411"/>
  <c r="AQ409"/>
  <c r="AV411"/>
  <c r="AT1105"/>
  <c r="AF1081"/>
  <c r="Y1048"/>
  <c r="AM1049"/>
  <c r="V1111"/>
  <c r="AR1112"/>
  <c r="AE1012"/>
  <c r="AE1057"/>
  <c r="O1056"/>
  <c r="AE1020"/>
  <c r="O1010"/>
  <c r="AL1000"/>
  <c r="AU1000"/>
  <c r="AK1000"/>
  <c r="AT1000"/>
  <c r="AS1000"/>
  <c r="P984"/>
  <c r="AF986"/>
  <c r="Q1007"/>
  <c r="AH1009"/>
  <c r="Y975"/>
  <c r="AM976"/>
  <c r="AE911"/>
  <c r="O910"/>
  <c r="O279"/>
  <c r="X931"/>
  <c r="M930"/>
  <c r="V947"/>
  <c r="AR947"/>
  <c r="AR949"/>
  <c r="P877"/>
  <c r="AT848"/>
  <c r="AK848"/>
  <c r="W847"/>
  <c r="AQ847"/>
  <c r="AU848"/>
  <c r="AV848"/>
  <c r="AK826"/>
  <c r="AT826"/>
  <c r="AS826"/>
  <c r="W824"/>
  <c r="AM894"/>
  <c r="P789"/>
  <c r="AF791"/>
  <c r="O798"/>
  <c r="AE799"/>
  <c r="AL723"/>
  <c r="X722"/>
  <c r="AR771"/>
  <c r="V769"/>
  <c r="AF619"/>
  <c r="R821"/>
  <c r="AU764"/>
  <c r="AT764"/>
  <c r="AK764"/>
  <c r="W763"/>
  <c r="AM716"/>
  <c r="Y614"/>
  <c r="W588"/>
  <c r="AU588"/>
  <c r="AK589"/>
  <c r="AT589"/>
  <c r="AS589"/>
  <c r="P706"/>
  <c r="AR677"/>
  <c r="V675"/>
  <c r="AH708"/>
  <c r="AC706"/>
  <c r="AH706"/>
  <c r="O628"/>
  <c r="AE628"/>
  <c r="AE630"/>
  <c r="AT578"/>
  <c r="O678"/>
  <c r="AF679"/>
  <c r="AE679"/>
  <c r="R568"/>
  <c r="AV685"/>
  <c r="AU618"/>
  <c r="AQ617"/>
  <c r="AV618"/>
  <c r="AK571"/>
  <c r="P616"/>
  <c r="AR570"/>
  <c r="V568"/>
  <c r="AR568"/>
  <c r="Q454"/>
  <c r="AG456"/>
  <c r="AH456"/>
  <c r="AK257"/>
  <c r="AT257"/>
  <c r="AS257"/>
  <c r="V536"/>
  <c r="AR537"/>
  <c r="W337"/>
  <c r="AK339"/>
  <c r="AT339"/>
  <c r="AS339"/>
  <c r="AM560"/>
  <c r="V337"/>
  <c r="AR337"/>
  <c r="AR339"/>
  <c r="AM317"/>
  <c r="Y315"/>
  <c r="AT317"/>
  <c r="W315"/>
  <c r="AS317"/>
  <c r="AK317"/>
  <c r="AV317"/>
  <c r="AH412"/>
  <c r="AG412"/>
  <c r="Q411"/>
  <c r="AM361"/>
  <c r="Y360"/>
  <c r="AE339"/>
  <c r="AR411"/>
  <c r="V409"/>
  <c r="AR409"/>
  <c r="AH278"/>
  <c r="O308"/>
  <c r="Q273"/>
  <c r="AG273"/>
  <c r="AS212"/>
  <c r="O203"/>
  <c r="AF203"/>
  <c r="AE205"/>
  <c r="AU224"/>
  <c r="AV224"/>
  <c r="AM182"/>
  <c r="Y173"/>
  <c r="AK248"/>
  <c r="AT248"/>
  <c r="AS248"/>
  <c r="AC216"/>
  <c r="AH218"/>
  <c r="O114"/>
  <c r="AE119"/>
  <c r="AS105"/>
  <c r="V103"/>
  <c r="AR103"/>
  <c r="AR105"/>
  <c r="AE175"/>
  <c r="AF240"/>
  <c r="AE240"/>
  <c r="AL103"/>
  <c r="AF218"/>
  <c r="AU114"/>
  <c r="AQ103"/>
  <c r="AV114"/>
  <c r="Y77"/>
  <c r="AL233"/>
  <c r="AF248"/>
  <c r="AL173"/>
  <c r="X12"/>
  <c r="AE235"/>
  <c r="M1049"/>
  <c r="AE1050"/>
  <c r="AK934"/>
  <c r="AT934"/>
  <c r="W933"/>
  <c r="AS934"/>
  <c r="O892"/>
  <c r="AE893"/>
  <c r="AT617"/>
  <c r="W616"/>
  <c r="AK617"/>
  <c r="AQ663"/>
  <c r="AU664"/>
  <c r="V282"/>
  <c r="AR282"/>
  <c r="AR285"/>
  <c r="AK1173"/>
  <c r="AT1173"/>
  <c r="AS1173"/>
  <c r="AM1194"/>
  <c r="AF1093"/>
  <c r="AS1048"/>
  <c r="W1046"/>
  <c r="AT1048"/>
  <c r="AK1048"/>
  <c r="AH1105"/>
  <c r="R1067"/>
  <c r="AR1192"/>
  <c r="AE1106"/>
  <c r="AC986"/>
  <c r="AC1046"/>
  <c r="AH1048"/>
  <c r="O1046"/>
  <c r="AK910"/>
  <c r="AT910"/>
  <c r="W909"/>
  <c r="AS910"/>
  <c r="AL910"/>
  <c r="W986"/>
  <c r="AR935"/>
  <c r="AL934"/>
  <c r="O935"/>
  <c r="P909"/>
  <c r="AF910"/>
  <c r="AG910"/>
  <c r="AM876"/>
  <c r="Y874"/>
  <c r="AL975"/>
  <c r="AL1042"/>
  <c r="O878"/>
  <c r="AE879"/>
  <c r="O292"/>
  <c r="AM935"/>
  <c r="Y934"/>
  <c r="AV886"/>
  <c r="AC830"/>
  <c r="AH832"/>
  <c r="AF792"/>
  <c r="O709"/>
  <c r="AF710"/>
  <c r="AE710"/>
  <c r="AE727"/>
  <c r="AF727"/>
  <c r="AH772"/>
  <c r="AC771"/>
  <c r="AL709"/>
  <c r="AM772"/>
  <c r="AV800"/>
  <c r="AU800"/>
  <c r="AQ799"/>
  <c r="AQ769"/>
  <c r="AU771"/>
  <c r="AV771"/>
  <c r="AG617"/>
  <c r="Q616"/>
  <c r="AR588"/>
  <c r="V586"/>
  <c r="AR586"/>
  <c r="O571"/>
  <c r="AE572"/>
  <c r="O306"/>
  <c r="AH799"/>
  <c r="AC798"/>
  <c r="AT560"/>
  <c r="R533"/>
  <c r="AF571"/>
  <c r="P570"/>
  <c r="AG570"/>
  <c r="O536"/>
  <c r="AE537"/>
  <c r="AF537"/>
  <c r="AC568"/>
  <c r="AH568"/>
  <c r="AH570"/>
  <c r="AH499"/>
  <c r="AH589"/>
  <c r="AC588"/>
  <c r="AL687"/>
  <c r="X685"/>
  <c r="AV443"/>
  <c r="AU443"/>
  <c r="AS537"/>
  <c r="AE563"/>
  <c r="AS305"/>
  <c r="AR360"/>
  <c r="V358"/>
  <c r="AH262"/>
  <c r="AS560"/>
  <c r="AQ289"/>
  <c r="AQ201"/>
  <c r="AQ360"/>
  <c r="AQ499"/>
  <c r="AV501"/>
  <c r="AL317"/>
  <c r="AU322"/>
  <c r="AV69"/>
  <c r="AU69"/>
  <c r="AQ50"/>
  <c r="O134"/>
  <c r="AE134"/>
  <c r="AE136"/>
  <c r="AV203"/>
  <c r="AU203"/>
  <c r="AD201"/>
  <c r="AK233"/>
  <c r="AT233"/>
  <c r="AS233"/>
  <c r="X79"/>
  <c r="AF209"/>
  <c r="AM85"/>
  <c r="AL248"/>
  <c r="AG79"/>
  <c r="R216"/>
  <c r="R201"/>
  <c r="AT218"/>
  <c r="AM209"/>
  <c r="AA315"/>
  <c r="AA308"/>
  <c r="S360"/>
  <c r="S358"/>
  <c r="S357"/>
  <c r="AA216"/>
  <c r="AA201"/>
  <c r="AA199"/>
  <c r="U46"/>
  <c r="S289"/>
  <c r="S533"/>
  <c r="S216"/>
  <c r="AQ14"/>
  <c r="R199"/>
  <c r="R14"/>
  <c r="R16"/>
  <c r="R17"/>
  <c r="R26"/>
  <c r="AK26"/>
  <c r="AR201"/>
  <c r="V14"/>
  <c r="AD199"/>
  <c r="AD14"/>
  <c r="AD16"/>
  <c r="AD17"/>
  <c r="AD26"/>
  <c r="AT1046"/>
  <c r="AK1046"/>
  <c r="AL1046"/>
  <c r="O890"/>
  <c r="AE890"/>
  <c r="AE892"/>
  <c r="AV103"/>
  <c r="AU103"/>
  <c r="AF678"/>
  <c r="AE678"/>
  <c r="O677"/>
  <c r="V768"/>
  <c r="AR768"/>
  <c r="AR769"/>
  <c r="P788"/>
  <c r="AU847"/>
  <c r="AV847"/>
  <c r="AQ845"/>
  <c r="AR1111"/>
  <c r="V1109"/>
  <c r="AR1109"/>
  <c r="AL282"/>
  <c r="AM282"/>
  <c r="AR577"/>
  <c r="AS577"/>
  <c r="O771"/>
  <c r="AE772"/>
  <c r="AF772"/>
  <c r="Y890"/>
  <c r="Q931"/>
  <c r="AG933"/>
  <c r="AV638"/>
  <c r="AU638"/>
  <c r="X769"/>
  <c r="AM771"/>
  <c r="AL771"/>
  <c r="AE826"/>
  <c r="O824"/>
  <c r="AG796"/>
  <c r="P931"/>
  <c r="AG1109"/>
  <c r="AH1109"/>
  <c r="AG723"/>
  <c r="Q722"/>
  <c r="AH723"/>
  <c r="AC685"/>
  <c r="AH687"/>
  <c r="W685"/>
  <c r="AK687"/>
  <c r="AT687"/>
  <c r="AS687"/>
  <c r="AU687"/>
  <c r="AU1111"/>
  <c r="X1129"/>
  <c r="AL1131"/>
  <c r="AL630"/>
  <c r="X628"/>
  <c r="AM630"/>
  <c r="AE237"/>
  <c r="O233"/>
  <c r="AF237"/>
  <c r="AL617"/>
  <c r="X616"/>
  <c r="AM617"/>
  <c r="W1007"/>
  <c r="AK1009"/>
  <c r="AS1009"/>
  <c r="AT1009"/>
  <c r="AU1009"/>
  <c r="AK568"/>
  <c r="AS568"/>
  <c r="AT568"/>
  <c r="W454"/>
  <c r="AK456"/>
  <c r="AS456"/>
  <c r="AT456"/>
  <c r="AL456"/>
  <c r="AK830"/>
  <c r="AT830"/>
  <c r="AS830"/>
  <c r="AT800"/>
  <c r="W799"/>
  <c r="AK800"/>
  <c r="AS800"/>
  <c r="AL1192"/>
  <c r="AM1192"/>
  <c r="Q614"/>
  <c r="AG616"/>
  <c r="AE709"/>
  <c r="O708"/>
  <c r="AF709"/>
  <c r="O291"/>
  <c r="AE292"/>
  <c r="AF292"/>
  <c r="AH986"/>
  <c r="AC984"/>
  <c r="AL12"/>
  <c r="Q409"/>
  <c r="AG411"/>
  <c r="AH411"/>
  <c r="AM315"/>
  <c r="Y308"/>
  <c r="AT337"/>
  <c r="AS337"/>
  <c r="AK337"/>
  <c r="AG454"/>
  <c r="AH454"/>
  <c r="AQ616"/>
  <c r="AV617"/>
  <c r="AU617"/>
  <c r="AT847"/>
  <c r="W845"/>
  <c r="AK847"/>
  <c r="AL847"/>
  <c r="AL203"/>
  <c r="AH776"/>
  <c r="AK720"/>
  <c r="AT720"/>
  <c r="AS720"/>
  <c r="AS814"/>
  <c r="W812"/>
  <c r="AU814"/>
  <c r="AL814"/>
  <c r="AS857"/>
  <c r="AK857"/>
  <c r="W856"/>
  <c r="AT857"/>
  <c r="AM1056"/>
  <c r="Y1054"/>
  <c r="AM1054"/>
  <c r="AM1129"/>
  <c r="AR476"/>
  <c r="V475"/>
  <c r="AR475"/>
  <c r="AT360"/>
  <c r="AM509"/>
  <c r="Y508"/>
  <c r="O789"/>
  <c r="AE791"/>
  <c r="P1129"/>
  <c r="AS103"/>
  <c r="AK103"/>
  <c r="AT103"/>
  <c r="P654"/>
  <c r="AQ628"/>
  <c r="X776"/>
  <c r="AL778"/>
  <c r="AM778"/>
  <c r="P890"/>
  <c r="AF892"/>
  <c r="AG892"/>
  <c r="AR1048"/>
  <c r="V1046"/>
  <c r="AR1046"/>
  <c r="AF1042"/>
  <c r="AT173"/>
  <c r="AS173"/>
  <c r="AK173"/>
  <c r="W12"/>
  <c r="AF361"/>
  <c r="AE361"/>
  <c r="O360"/>
  <c r="P475"/>
  <c r="AF476"/>
  <c r="X501"/>
  <c r="AG706"/>
  <c r="R874"/>
  <c r="AK876"/>
  <c r="AT876"/>
  <c r="AL949"/>
  <c r="X947"/>
  <c r="X930"/>
  <c r="AR1067"/>
  <c r="V1065"/>
  <c r="AS1067"/>
  <c r="P1192"/>
  <c r="AG1194"/>
  <c r="AE688"/>
  <c r="O687"/>
  <c r="AF688"/>
  <c r="AV877"/>
  <c r="AQ876"/>
  <c r="AU877"/>
  <c r="AK791"/>
  <c r="AT791"/>
  <c r="AS791"/>
  <c r="W789"/>
  <c r="AE854"/>
  <c r="AF854"/>
  <c r="AC796"/>
  <c r="AH796"/>
  <c r="AH798"/>
  <c r="AK909"/>
  <c r="AS909"/>
  <c r="AT909"/>
  <c r="W908"/>
  <c r="AU909"/>
  <c r="AU663"/>
  <c r="AQ655"/>
  <c r="AS933"/>
  <c r="W931"/>
  <c r="AL931"/>
  <c r="AU933"/>
  <c r="AM173"/>
  <c r="Y12"/>
  <c r="AM12"/>
  <c r="AE308"/>
  <c r="O15"/>
  <c r="AE15"/>
  <c r="AU763"/>
  <c r="W761"/>
  <c r="AT763"/>
  <c r="AK763"/>
  <c r="X720"/>
  <c r="AL720"/>
  <c r="AL722"/>
  <c r="AU824"/>
  <c r="AT824"/>
  <c r="AS824"/>
  <c r="W822"/>
  <c r="AK824"/>
  <c r="AL824"/>
  <c r="AL933"/>
  <c r="AG1007"/>
  <c r="AH1007"/>
  <c r="AF1010"/>
  <c r="AE1010"/>
  <c r="O1009"/>
  <c r="AM1048"/>
  <c r="Y1046"/>
  <c r="AL893"/>
  <c r="X892"/>
  <c r="Q11"/>
  <c r="Q46"/>
  <c r="AH48"/>
  <c r="AC11"/>
  <c r="AC46"/>
  <c r="AC1065"/>
  <c r="AH1067"/>
  <c r="AC947"/>
  <c r="AH947"/>
  <c r="AH949"/>
  <c r="AK475"/>
  <c r="AT475"/>
  <c r="AS475"/>
  <c r="AV476"/>
  <c r="AU476"/>
  <c r="AQ475"/>
  <c r="AF508"/>
  <c r="P501"/>
  <c r="AC931"/>
  <c r="AH933"/>
  <c r="AG675"/>
  <c r="AM655"/>
  <c r="AR877"/>
  <c r="V876"/>
  <c r="AS877"/>
  <c r="AV892"/>
  <c r="AQ890"/>
  <c r="AT973"/>
  <c r="W972"/>
  <c r="AS973"/>
  <c r="AK973"/>
  <c r="AF1009"/>
  <c r="P1007"/>
  <c r="Y1214"/>
  <c r="AM1214"/>
  <c r="AM1216"/>
  <c r="P768"/>
  <c r="AL360"/>
  <c r="X358"/>
  <c r="AE618"/>
  <c r="O617"/>
  <c r="AF618"/>
  <c r="AM736"/>
  <c r="Y734"/>
  <c r="AM734"/>
  <c r="AH906"/>
  <c r="AC905"/>
  <c r="AE1067"/>
  <c r="O1065"/>
  <c r="L199"/>
  <c r="L14"/>
  <c r="L16"/>
  <c r="L17"/>
  <c r="L26"/>
  <c r="AC357"/>
  <c r="AH358"/>
  <c r="Y475"/>
  <c r="M409"/>
  <c r="AE409"/>
  <c r="AE411"/>
  <c r="O715"/>
  <c r="AE716"/>
  <c r="AF716"/>
  <c r="O984"/>
  <c r="AE986"/>
  <c r="AV984"/>
  <c r="R983"/>
  <c r="R981"/>
  <c r="AR984"/>
  <c r="AE1195"/>
  <c r="O1194"/>
  <c r="AF1194"/>
  <c r="AQ173"/>
  <c r="AV182"/>
  <c r="AU182"/>
  <c r="AL570"/>
  <c r="X568"/>
  <c r="AK755"/>
  <c r="AT755"/>
  <c r="W753"/>
  <c r="AS755"/>
  <c r="M48"/>
  <c r="AH771"/>
  <c r="AC769"/>
  <c r="AE878"/>
  <c r="O877"/>
  <c r="P908"/>
  <c r="AG909"/>
  <c r="AR536"/>
  <c r="V534"/>
  <c r="O278"/>
  <c r="AF279"/>
  <c r="AE279"/>
  <c r="AG588"/>
  <c r="Q586"/>
  <c r="AG586"/>
  <c r="AK628"/>
  <c r="AT628"/>
  <c r="AV947"/>
  <c r="AM203"/>
  <c r="AK360"/>
  <c r="AL292"/>
  <c r="X291"/>
  <c r="AM722"/>
  <c r="AE949"/>
  <c r="O947"/>
  <c r="AE947"/>
  <c r="AS884"/>
  <c r="W882"/>
  <c r="AQ454"/>
  <c r="AV456"/>
  <c r="AU456"/>
  <c r="AC614"/>
  <c r="AH616"/>
  <c r="AM601"/>
  <c r="Y599"/>
  <c r="Y882"/>
  <c r="AL1009"/>
  <c r="X1007"/>
  <c r="AM1009"/>
  <c r="AL763"/>
  <c r="AQ973"/>
  <c r="AU975"/>
  <c r="AV975"/>
  <c r="P201"/>
  <c r="AH273"/>
  <c r="AV586"/>
  <c r="AV720"/>
  <c r="AU720"/>
  <c r="O720"/>
  <c r="AE722"/>
  <c r="AF722"/>
  <c r="AG791"/>
  <c r="Q789"/>
  <c r="V930"/>
  <c r="AR50"/>
  <c r="V48"/>
  <c r="AS50"/>
  <c r="AU216"/>
  <c r="X77"/>
  <c r="AL79"/>
  <c r="AL685"/>
  <c r="AM685"/>
  <c r="AE306"/>
  <c r="O305"/>
  <c r="AF306"/>
  <c r="AE935"/>
  <c r="O934"/>
  <c r="AF935"/>
  <c r="R1065"/>
  <c r="AT1067"/>
  <c r="AK1067"/>
  <c r="W614"/>
  <c r="AK616"/>
  <c r="AT616"/>
  <c r="O103"/>
  <c r="AE114"/>
  <c r="AF114"/>
  <c r="AF877"/>
  <c r="P876"/>
  <c r="AE910"/>
  <c r="O909"/>
  <c r="AF909"/>
  <c r="AF984"/>
  <c r="P983"/>
  <c r="AG984"/>
  <c r="O1054"/>
  <c r="AE1056"/>
  <c r="AF1056"/>
  <c r="AL536"/>
  <c r="X534"/>
  <c r="Y905"/>
  <c r="AS79"/>
  <c r="AK79"/>
  <c r="W77"/>
  <c r="AT79"/>
  <c r="AU79"/>
  <c r="AH675"/>
  <c r="Q1065"/>
  <c r="AG1067"/>
  <c r="AV1183"/>
  <c r="AG508"/>
  <c r="AK358"/>
  <c r="AS358"/>
  <c r="W357"/>
  <c r="AT358"/>
  <c r="AS638"/>
  <c r="AT638"/>
  <c r="AK638"/>
  <c r="AL638"/>
  <c r="AM720"/>
  <c r="R890"/>
  <c r="AR890"/>
  <c r="AR892"/>
  <c r="AQ1046"/>
  <c r="AV1048"/>
  <c r="AU1048"/>
  <c r="AF1065"/>
  <c r="P1064"/>
  <c r="AT1216"/>
  <c r="W1214"/>
  <c r="AK1216"/>
  <c r="X409"/>
  <c r="AL409"/>
  <c r="AL411"/>
  <c r="AR273"/>
  <c r="AS273"/>
  <c r="O475"/>
  <c r="AM536"/>
  <c r="AL1065"/>
  <c r="X1064"/>
  <c r="AM1065"/>
  <c r="V1129"/>
  <c r="AR1131"/>
  <c r="Y606"/>
  <c r="AM606"/>
  <c r="AM608"/>
  <c r="M233"/>
  <c r="M216"/>
  <c r="M201"/>
  <c r="AV562"/>
  <c r="AU562"/>
  <c r="AF628"/>
  <c r="AG628"/>
  <c r="AV568"/>
  <c r="AU568"/>
  <c r="AT708"/>
  <c r="AS708"/>
  <c r="W706"/>
  <c r="AK708"/>
  <c r="AL708"/>
  <c r="AU753"/>
  <c r="AV753"/>
  <c r="AL789"/>
  <c r="AU857"/>
  <c r="AL761"/>
  <c r="AV282"/>
  <c r="AU282"/>
  <c r="AG476"/>
  <c r="AL478"/>
  <c r="X476"/>
  <c r="AC654"/>
  <c r="V628"/>
  <c r="AR628"/>
  <c r="AR630"/>
  <c r="Q768"/>
  <c r="AG768"/>
  <c r="AM830"/>
  <c r="Y821"/>
  <c r="AL885"/>
  <c r="X884"/>
  <c r="AL908"/>
  <c r="X906"/>
  <c r="AG1048"/>
  <c r="Q1046"/>
  <c r="AG1046"/>
  <c r="AF134"/>
  <c r="AV499"/>
  <c r="AQ491"/>
  <c r="AR358"/>
  <c r="V357"/>
  <c r="O534"/>
  <c r="AE536"/>
  <c r="AF536"/>
  <c r="AQ768"/>
  <c r="AV769"/>
  <c r="AH830"/>
  <c r="AC821"/>
  <c r="AF1046"/>
  <c r="AM79"/>
  <c r="P614"/>
  <c r="AS588"/>
  <c r="AT588"/>
  <c r="AK588"/>
  <c r="W586"/>
  <c r="W533"/>
  <c r="AL588"/>
  <c r="AF878"/>
  <c r="AR216"/>
  <c r="AK292"/>
  <c r="AT292"/>
  <c r="AS292"/>
  <c r="W291"/>
  <c r="AV292"/>
  <c r="AU292"/>
  <c r="AV713"/>
  <c r="R884"/>
  <c r="AR885"/>
  <c r="R933"/>
  <c r="AK933"/>
  <c r="AV934"/>
  <c r="AR934"/>
  <c r="AR173"/>
  <c r="V12"/>
  <c r="AR12"/>
  <c r="AM524"/>
  <c r="Y523"/>
  <c r="AM523"/>
  <c r="X713"/>
  <c r="AM715"/>
  <c r="AL715"/>
  <c r="AL800"/>
  <c r="X799"/>
  <c r="AM800"/>
  <c r="AR789"/>
  <c r="AK893"/>
  <c r="AT893"/>
  <c r="W892"/>
  <c r="AU892"/>
  <c r="AS893"/>
  <c r="AT885"/>
  <c r="AF1067"/>
  <c r="Q534"/>
  <c r="AG536"/>
  <c r="AV536"/>
  <c r="AU536"/>
  <c r="AQ534"/>
  <c r="AM534"/>
  <c r="Y533"/>
  <c r="AT715"/>
  <c r="AS715"/>
  <c r="W713"/>
  <c r="AK715"/>
  <c r="Q854"/>
  <c r="Q821"/>
  <c r="AG856"/>
  <c r="AH856"/>
  <c r="AR1007"/>
  <c r="V983"/>
  <c r="AG216"/>
  <c r="AR499"/>
  <c r="V491"/>
  <c r="AR491"/>
  <c r="AE508"/>
  <c r="O501"/>
  <c r="AT771"/>
  <c r="AS771"/>
  <c r="W769"/>
  <c r="AU769"/>
  <c r="AK771"/>
  <c r="AU755"/>
  <c r="AU856"/>
  <c r="AV856"/>
  <c r="AQ854"/>
  <c r="AQ905"/>
  <c r="AV906"/>
  <c r="W947"/>
  <c r="AK949"/>
  <c r="AT949"/>
  <c r="AS949"/>
  <c r="Q905"/>
  <c r="AG475"/>
  <c r="AG769"/>
  <c r="AL909"/>
  <c r="AL1109"/>
  <c r="AM1109"/>
  <c r="AS1129"/>
  <c r="AT1129"/>
  <c r="AK1129"/>
  <c r="AU1129"/>
  <c r="AQ1065"/>
  <c r="AV1067"/>
  <c r="AU1067"/>
  <c r="AV50"/>
  <c r="AQ48"/>
  <c r="AU50"/>
  <c r="AQ358"/>
  <c r="AV360"/>
  <c r="AU360"/>
  <c r="AH588"/>
  <c r="AC586"/>
  <c r="AH586"/>
  <c r="P568"/>
  <c r="AF570"/>
  <c r="AE571"/>
  <c r="O570"/>
  <c r="AV799"/>
  <c r="AU799"/>
  <c r="AQ798"/>
  <c r="Y873"/>
  <c r="AM874"/>
  <c r="M1048"/>
  <c r="AE1049"/>
  <c r="AM77"/>
  <c r="Y48"/>
  <c r="AH216"/>
  <c r="AC201"/>
  <c r="AR675"/>
  <c r="V654"/>
  <c r="AR654"/>
  <c r="Y613"/>
  <c r="AE798"/>
  <c r="O796"/>
  <c r="AE796"/>
  <c r="AV409"/>
  <c r="AU409"/>
  <c r="AC1054"/>
  <c r="AH1054"/>
  <c r="AH1056"/>
  <c r="AG568"/>
  <c r="AH876"/>
  <c r="AC874"/>
  <c r="AK1111"/>
  <c r="AT1111"/>
  <c r="AS1111"/>
  <c r="W1109"/>
  <c r="M601"/>
  <c r="AE602"/>
  <c r="AK885"/>
  <c r="AE287"/>
  <c r="AF287"/>
  <c r="O285"/>
  <c r="AK1205"/>
  <c r="AT1205"/>
  <c r="W1203"/>
  <c r="W1128"/>
  <c r="AS1205"/>
  <c r="AL1205"/>
  <c r="AG203"/>
  <c r="Q201"/>
  <c r="AH203"/>
  <c r="AL216"/>
  <c r="AR315"/>
  <c r="V308"/>
  <c r="V199"/>
  <c r="AR199"/>
  <c r="AF949"/>
  <c r="AU1056"/>
  <c r="AV1056"/>
  <c r="AQ1054"/>
  <c r="AV776"/>
  <c r="AU776"/>
  <c r="AS409"/>
  <c r="AH789"/>
  <c r="AC788"/>
  <c r="AL857"/>
  <c r="X856"/>
  <c r="AM857"/>
  <c r="AL972"/>
  <c r="AK282"/>
  <c r="AT282"/>
  <c r="AS282"/>
  <c r="AK534"/>
  <c r="AT534"/>
  <c r="AS534"/>
  <c r="AG877"/>
  <c r="AQ675"/>
  <c r="AV677"/>
  <c r="AU677"/>
  <c r="AR799"/>
  <c r="V798"/>
  <c r="AV885"/>
  <c r="AM947"/>
  <c r="AK1054"/>
  <c r="AT1054"/>
  <c r="AS1054"/>
  <c r="AS1131"/>
  <c r="M357"/>
  <c r="AM934"/>
  <c r="Y933"/>
  <c r="AL986"/>
  <c r="AU986"/>
  <c r="AK986"/>
  <c r="AT986"/>
  <c r="AS986"/>
  <c r="W984"/>
  <c r="AE203"/>
  <c r="AM360"/>
  <c r="Y358"/>
  <c r="AK315"/>
  <c r="AS315"/>
  <c r="AT315"/>
  <c r="AL315"/>
  <c r="W308"/>
  <c r="AM975"/>
  <c r="Y973"/>
  <c r="V616"/>
  <c r="AR617"/>
  <c r="AV791"/>
  <c r="AU791"/>
  <c r="AQ789"/>
  <c r="AS216"/>
  <c r="AT216"/>
  <c r="AK216"/>
  <c r="AG315"/>
  <c r="AH315"/>
  <c r="Q308"/>
  <c r="AT509"/>
  <c r="W508"/>
  <c r="AS509"/>
  <c r="AK509"/>
  <c r="AU509"/>
  <c r="P830"/>
  <c r="AF832"/>
  <c r="AH1175"/>
  <c r="AC1173"/>
  <c r="AL509"/>
  <c r="AV315"/>
  <c r="AU315"/>
  <c r="AQ308"/>
  <c r="AE457"/>
  <c r="O456"/>
  <c r="AF457"/>
  <c r="Y409"/>
  <c r="AM409"/>
  <c r="AM411"/>
  <c r="AM292"/>
  <c r="Y291"/>
  <c r="AG1131"/>
  <c r="Q1129"/>
  <c r="AH1131"/>
  <c r="AU1205"/>
  <c r="AQ1203"/>
  <c r="AV1205"/>
  <c r="AR821"/>
  <c r="AF947"/>
  <c r="AG947"/>
  <c r="AR906"/>
  <c r="V905"/>
  <c r="AR905"/>
  <c r="AU1109"/>
  <c r="AV1109"/>
  <c r="AF1183"/>
  <c r="AG1183"/>
  <c r="AE1169"/>
  <c r="O1131"/>
  <c r="AF1169"/>
  <c r="Q357"/>
  <c r="AG358"/>
  <c r="AF315"/>
  <c r="P308"/>
  <c r="M478"/>
  <c r="AE479"/>
  <c r="AQ706"/>
  <c r="AV708"/>
  <c r="AU708"/>
  <c r="AL830"/>
  <c r="AL973"/>
  <c r="Q685"/>
  <c r="AG685"/>
  <c r="AG687"/>
  <c r="AF77"/>
  <c r="P48"/>
  <c r="AG48"/>
  <c r="AT134"/>
  <c r="AS134"/>
  <c r="AK134"/>
  <c r="AU134"/>
  <c r="AE60"/>
  <c r="O50"/>
  <c r="AF60"/>
  <c r="AS536"/>
  <c r="AL577"/>
  <c r="AM577"/>
  <c r="AS655"/>
  <c r="W654"/>
  <c r="AL655"/>
  <c r="Q874"/>
  <c r="AG876"/>
  <c r="Y796"/>
  <c r="AQ882"/>
  <c r="AV884"/>
  <c r="AU884"/>
  <c r="AE69"/>
  <c r="AF69"/>
  <c r="W675"/>
  <c r="AK677"/>
  <c r="AS677"/>
  <c r="AT677"/>
  <c r="AL677"/>
  <c r="Q491"/>
  <c r="S201"/>
  <c r="S199"/>
  <c r="S356"/>
  <c r="S353"/>
  <c r="AG821"/>
  <c r="AL930"/>
  <c r="AK1128"/>
  <c r="W1126"/>
  <c r="AT1128"/>
  <c r="AK533"/>
  <c r="AT533"/>
  <c r="AV882"/>
  <c r="AU882"/>
  <c r="AK508"/>
  <c r="AS508"/>
  <c r="W501"/>
  <c r="AT508"/>
  <c r="AU508"/>
  <c r="AK308"/>
  <c r="AS308"/>
  <c r="AT308"/>
  <c r="W15"/>
  <c r="AL308"/>
  <c r="AV675"/>
  <c r="AU675"/>
  <c r="AH201"/>
  <c r="AC14"/>
  <c r="AC199"/>
  <c r="AV798"/>
  <c r="AQ796"/>
  <c r="AK713"/>
  <c r="AT713"/>
  <c r="AS713"/>
  <c r="R882"/>
  <c r="AR882"/>
  <c r="AR884"/>
  <c r="AV768"/>
  <c r="P874"/>
  <c r="AF876"/>
  <c r="AK614"/>
  <c r="W613"/>
  <c r="AT614"/>
  <c r="AE305"/>
  <c r="AF305"/>
  <c r="AR48"/>
  <c r="V46"/>
  <c r="AR46"/>
  <c r="V11"/>
  <c r="AQ972"/>
  <c r="AU973"/>
  <c r="AV973"/>
  <c r="AK884"/>
  <c r="M11"/>
  <c r="M13"/>
  <c r="M46"/>
  <c r="AE984"/>
  <c r="Y654"/>
  <c r="AM654"/>
  <c r="Q983"/>
  <c r="AC533"/>
  <c r="AF360"/>
  <c r="AE360"/>
  <c r="O358"/>
  <c r="AV628"/>
  <c r="AU628"/>
  <c r="Y1128"/>
  <c r="AM308"/>
  <c r="Y15"/>
  <c r="AM15"/>
  <c r="AL1129"/>
  <c r="X1128"/>
  <c r="AH685"/>
  <c r="AG357"/>
  <c r="AU1203"/>
  <c r="AV1203"/>
  <c r="AH1173"/>
  <c r="AC1128"/>
  <c r="AV789"/>
  <c r="AQ788"/>
  <c r="AU789"/>
  <c r="AK984"/>
  <c r="AT984"/>
  <c r="W983"/>
  <c r="AS984"/>
  <c r="AL984"/>
  <c r="AU984"/>
  <c r="AE285"/>
  <c r="O282"/>
  <c r="AF285"/>
  <c r="AV1065"/>
  <c r="AU1065"/>
  <c r="AQ1064"/>
  <c r="AK947"/>
  <c r="AS947"/>
  <c r="AT947"/>
  <c r="AG534"/>
  <c r="Q533"/>
  <c r="P613"/>
  <c r="V1128"/>
  <c r="AR1129"/>
  <c r="AQ1128"/>
  <c r="AT77"/>
  <c r="AS77"/>
  <c r="AK77"/>
  <c r="W48"/>
  <c r="AU48"/>
  <c r="AU77"/>
  <c r="AM599"/>
  <c r="Y598"/>
  <c r="AM598"/>
  <c r="AT884"/>
  <c r="AU173"/>
  <c r="AV173"/>
  <c r="AQ12"/>
  <c r="AH357"/>
  <c r="AV890"/>
  <c r="Q654"/>
  <c r="AG654"/>
  <c r="AV475"/>
  <c r="AU475"/>
  <c r="AL892"/>
  <c r="X890"/>
  <c r="AM890"/>
  <c r="AU655"/>
  <c r="AQ654"/>
  <c r="AH534"/>
  <c r="AF796"/>
  <c r="AL508"/>
  <c r="AV845"/>
  <c r="AU845"/>
  <c r="AQ821"/>
  <c r="AE677"/>
  <c r="O675"/>
  <c r="AF677"/>
  <c r="Y788"/>
  <c r="P46"/>
  <c r="P11"/>
  <c r="AG11"/>
  <c r="AG308"/>
  <c r="Q15"/>
  <c r="AH308"/>
  <c r="AU1054"/>
  <c r="AV1054"/>
  <c r="Q199"/>
  <c r="AG201"/>
  <c r="Q14"/>
  <c r="Y46"/>
  <c r="Y11"/>
  <c r="AK769"/>
  <c r="AT769"/>
  <c r="W768"/>
  <c r="AU768"/>
  <c r="AS769"/>
  <c r="AR983"/>
  <c r="V981"/>
  <c r="AR981"/>
  <c r="AU713"/>
  <c r="AE1054"/>
  <c r="AF1054"/>
  <c r="AU586"/>
  <c r="AK882"/>
  <c r="AS882"/>
  <c r="AF908"/>
  <c r="P906"/>
  <c r="AG908"/>
  <c r="AT753"/>
  <c r="AS753"/>
  <c r="AK753"/>
  <c r="O1192"/>
  <c r="AE1192"/>
  <c r="AE1194"/>
  <c r="AC1064"/>
  <c r="AH1065"/>
  <c r="AG1192"/>
  <c r="R873"/>
  <c r="AK874"/>
  <c r="AT874"/>
  <c r="AE789"/>
  <c r="O788"/>
  <c r="AE788"/>
  <c r="AS812"/>
  <c r="AU812"/>
  <c r="AL812"/>
  <c r="AQ614"/>
  <c r="AV616"/>
  <c r="AU616"/>
  <c r="O289"/>
  <c r="AE291"/>
  <c r="AF291"/>
  <c r="AE233"/>
  <c r="O216"/>
  <c r="AF233"/>
  <c r="Q720"/>
  <c r="AG722"/>
  <c r="AH722"/>
  <c r="AE824"/>
  <c r="O822"/>
  <c r="O769"/>
  <c r="AE771"/>
  <c r="AF771"/>
  <c r="AS675"/>
  <c r="AT675"/>
  <c r="AK675"/>
  <c r="AL675"/>
  <c r="AU706"/>
  <c r="AV706"/>
  <c r="AF456"/>
  <c r="AE456"/>
  <c r="O454"/>
  <c r="AL856"/>
  <c r="X854"/>
  <c r="AM856"/>
  <c r="AC873"/>
  <c r="AH874"/>
  <c r="AE570"/>
  <c r="O568"/>
  <c r="AE568"/>
  <c r="AV358"/>
  <c r="AU358"/>
  <c r="AQ357"/>
  <c r="AL799"/>
  <c r="X798"/>
  <c r="AM799"/>
  <c r="X1062"/>
  <c r="AM1064"/>
  <c r="AV1046"/>
  <c r="AU1046"/>
  <c r="AQ983"/>
  <c r="R1064"/>
  <c r="R1062"/>
  <c r="AT1065"/>
  <c r="AK1065"/>
  <c r="AG789"/>
  <c r="Q788"/>
  <c r="AG788"/>
  <c r="AL1007"/>
  <c r="X983"/>
  <c r="AM1007"/>
  <c r="AU947"/>
  <c r="O713"/>
  <c r="AF715"/>
  <c r="AE715"/>
  <c r="AE617"/>
  <c r="O616"/>
  <c r="AF617"/>
  <c r="AH46"/>
  <c r="AM1046"/>
  <c r="Y983"/>
  <c r="AV876"/>
  <c r="AU876"/>
  <c r="AQ874"/>
  <c r="AL753"/>
  <c r="AK12"/>
  <c r="AS12"/>
  <c r="AT12"/>
  <c r="AM508"/>
  <c r="Y501"/>
  <c r="Q930"/>
  <c r="AG931"/>
  <c r="AS1046"/>
  <c r="Q873"/>
  <c r="AG874"/>
  <c r="AE50"/>
  <c r="O48"/>
  <c r="AF50"/>
  <c r="O1129"/>
  <c r="AE1131"/>
  <c r="AG1129"/>
  <c r="Q1128"/>
  <c r="AH1129"/>
  <c r="AF830"/>
  <c r="P821"/>
  <c r="AR798"/>
  <c r="V796"/>
  <c r="AV905"/>
  <c r="AK586"/>
  <c r="AT586"/>
  <c r="AS586"/>
  <c r="AL586"/>
  <c r="O533"/>
  <c r="AE533"/>
  <c r="AE534"/>
  <c r="AF534"/>
  <c r="AS706"/>
  <c r="AK706"/>
  <c r="AT706"/>
  <c r="AL706"/>
  <c r="AK357"/>
  <c r="AT357"/>
  <c r="AS357"/>
  <c r="Q1064"/>
  <c r="AG1065"/>
  <c r="P981"/>
  <c r="AE103"/>
  <c r="AF103"/>
  <c r="AC613"/>
  <c r="AH614"/>
  <c r="AE877"/>
  <c r="O876"/>
  <c r="AE1065"/>
  <c r="O1064"/>
  <c r="AH931"/>
  <c r="AC930"/>
  <c r="AH930"/>
  <c r="AC13"/>
  <c r="AH11"/>
  <c r="AT908"/>
  <c r="AS908"/>
  <c r="W906"/>
  <c r="AK908"/>
  <c r="AU908"/>
  <c r="AK789"/>
  <c r="AT789"/>
  <c r="AS789"/>
  <c r="AR1065"/>
  <c r="V1064"/>
  <c r="AS1065"/>
  <c r="AG890"/>
  <c r="AF890"/>
  <c r="AG409"/>
  <c r="AH409"/>
  <c r="AE708"/>
  <c r="O706"/>
  <c r="AF708"/>
  <c r="AT799"/>
  <c r="W798"/>
  <c r="AK799"/>
  <c r="AS799"/>
  <c r="AF789"/>
  <c r="AH1046"/>
  <c r="AV14"/>
  <c r="AH491"/>
  <c r="M476"/>
  <c r="AE478"/>
  <c r="AV308"/>
  <c r="AU308"/>
  <c r="AQ15"/>
  <c r="AQ16"/>
  <c r="V614"/>
  <c r="AS614"/>
  <c r="AR616"/>
  <c r="AM358"/>
  <c r="Y357"/>
  <c r="AH788"/>
  <c r="M1046"/>
  <c r="AE1048"/>
  <c r="AV48"/>
  <c r="AQ11"/>
  <c r="AQ46"/>
  <c r="AV854"/>
  <c r="AU854"/>
  <c r="O499"/>
  <c r="AE501"/>
  <c r="AV534"/>
  <c r="AU534"/>
  <c r="AQ533"/>
  <c r="AK892"/>
  <c r="AT892"/>
  <c r="AS892"/>
  <c r="W890"/>
  <c r="AU890"/>
  <c r="AK291"/>
  <c r="AT291"/>
  <c r="AS291"/>
  <c r="W289"/>
  <c r="AV291"/>
  <c r="AU291"/>
  <c r="AH821"/>
  <c r="AR357"/>
  <c r="AL906"/>
  <c r="X905"/>
  <c r="M199"/>
  <c r="M14"/>
  <c r="M16"/>
  <c r="AK1214"/>
  <c r="AT1214"/>
  <c r="AM906"/>
  <c r="AS616"/>
  <c r="AE934"/>
  <c r="O933"/>
  <c r="AF934"/>
  <c r="AL77"/>
  <c r="X48"/>
  <c r="P199"/>
  <c r="P14"/>
  <c r="AL568"/>
  <c r="AM568"/>
  <c r="AL358"/>
  <c r="X357"/>
  <c r="V874"/>
  <c r="AR876"/>
  <c r="AS876"/>
  <c r="AE1009"/>
  <c r="O1007"/>
  <c r="AE1007"/>
  <c r="AT931"/>
  <c r="W930"/>
  <c r="AS931"/>
  <c r="AU931"/>
  <c r="AL501"/>
  <c r="X499"/>
  <c r="AK856"/>
  <c r="AT856"/>
  <c r="W854"/>
  <c r="AS856"/>
  <c r="AS454"/>
  <c r="AT454"/>
  <c r="AK454"/>
  <c r="AL454"/>
  <c r="AK1007"/>
  <c r="AS1007"/>
  <c r="AT1007"/>
  <c r="AU1007"/>
  <c r="AL628"/>
  <c r="AM628"/>
  <c r="AF788"/>
  <c r="AK654"/>
  <c r="AT654"/>
  <c r="AS654"/>
  <c r="AF308"/>
  <c r="P15"/>
  <c r="AF15"/>
  <c r="Y289"/>
  <c r="AM291"/>
  <c r="AM973"/>
  <c r="Y972"/>
  <c r="AM972"/>
  <c r="AR308"/>
  <c r="V15"/>
  <c r="AR15"/>
  <c r="AT1203"/>
  <c r="AS1203"/>
  <c r="AK1203"/>
  <c r="AL1203"/>
  <c r="M599"/>
  <c r="AE601"/>
  <c r="AF568"/>
  <c r="P533"/>
  <c r="AG854"/>
  <c r="AH854"/>
  <c r="R931"/>
  <c r="AV933"/>
  <c r="AR933"/>
  <c r="AL534"/>
  <c r="X533"/>
  <c r="AL533"/>
  <c r="O908"/>
  <c r="AE909"/>
  <c r="AE278"/>
  <c r="AF278"/>
  <c r="O273"/>
  <c r="AH769"/>
  <c r="AC768"/>
  <c r="AH768"/>
  <c r="AM475"/>
  <c r="AH905"/>
  <c r="AG830"/>
  <c r="AG46"/>
  <c r="W821"/>
  <c r="AK822"/>
  <c r="AS822"/>
  <c r="AT822"/>
  <c r="AL822"/>
  <c r="AU822"/>
  <c r="AK761"/>
  <c r="AU761"/>
  <c r="AT761"/>
  <c r="AE687"/>
  <c r="O685"/>
  <c r="AF687"/>
  <c r="AL947"/>
  <c r="AF1129"/>
  <c r="P1128"/>
  <c r="AK845"/>
  <c r="AT845"/>
  <c r="AL845"/>
  <c r="AH984"/>
  <c r="AC983"/>
  <c r="AK685"/>
  <c r="AS685"/>
  <c r="AT685"/>
  <c r="AU685"/>
  <c r="X768"/>
  <c r="AL769"/>
  <c r="AM769"/>
  <c r="AM892"/>
  <c r="AM933"/>
  <c r="Y931"/>
  <c r="AK1109"/>
  <c r="AT1109"/>
  <c r="AS1109"/>
  <c r="W1064"/>
  <c r="AL713"/>
  <c r="AM713"/>
  <c r="X654"/>
  <c r="AL654"/>
  <c r="AV491"/>
  <c r="X882"/>
  <c r="AM882"/>
  <c r="AL884"/>
  <c r="AL476"/>
  <c r="X475"/>
  <c r="AL475"/>
  <c r="P1062"/>
  <c r="AF1064"/>
  <c r="AE720"/>
  <c r="AF720"/>
  <c r="AM884"/>
  <c r="AV454"/>
  <c r="AU454"/>
  <c r="AL291"/>
  <c r="X289"/>
  <c r="AS628"/>
  <c r="V533"/>
  <c r="AR533"/>
  <c r="AR534"/>
  <c r="AM476"/>
  <c r="AK972"/>
  <c r="AT972"/>
  <c r="AS972"/>
  <c r="P499"/>
  <c r="AF501"/>
  <c r="AG501"/>
  <c r="Q13"/>
  <c r="AT933"/>
  <c r="AF475"/>
  <c r="AL776"/>
  <c r="AM776"/>
  <c r="AF1131"/>
  <c r="Q613"/>
  <c r="AG613"/>
  <c r="AG614"/>
  <c r="AL616"/>
  <c r="X614"/>
  <c r="AM616"/>
  <c r="P930"/>
  <c r="AR14"/>
  <c r="V16"/>
  <c r="AR16"/>
  <c r="AQ199"/>
  <c r="S14"/>
  <c r="S16"/>
  <c r="S17"/>
  <c r="S26"/>
  <c r="AV16"/>
  <c r="P1126"/>
  <c r="AF1128"/>
  <c r="R930"/>
  <c r="AR931"/>
  <c r="AV931"/>
  <c r="AM289"/>
  <c r="Y201"/>
  <c r="AR874"/>
  <c r="V873"/>
  <c r="AR873"/>
  <c r="AS874"/>
  <c r="X46"/>
  <c r="AL48"/>
  <c r="X11"/>
  <c r="AM357"/>
  <c r="M475"/>
  <c r="AE476"/>
  <c r="AH13"/>
  <c r="AH613"/>
  <c r="Q1126"/>
  <c r="AG1126"/>
  <c r="AG1128"/>
  <c r="AF1007"/>
  <c r="AQ981"/>
  <c r="AU983"/>
  <c r="AV983"/>
  <c r="AH873"/>
  <c r="AE769"/>
  <c r="O768"/>
  <c r="AF769"/>
  <c r="AF1192"/>
  <c r="AG533"/>
  <c r="O983"/>
  <c r="AU972"/>
  <c r="AV972"/>
  <c r="AF499"/>
  <c r="P491"/>
  <c r="AG499"/>
  <c r="AM931"/>
  <c r="Y930"/>
  <c r="AM930"/>
  <c r="AE908"/>
  <c r="O906"/>
  <c r="AK930"/>
  <c r="AT930"/>
  <c r="AS930"/>
  <c r="AU930"/>
  <c r="AL357"/>
  <c r="X981"/>
  <c r="AL983"/>
  <c r="AM533"/>
  <c r="O821"/>
  <c r="AE821"/>
  <c r="AE822"/>
  <c r="AF906"/>
  <c r="P905"/>
  <c r="AG906"/>
  <c r="AE282"/>
  <c r="AF282"/>
  <c r="Q356"/>
  <c r="V13"/>
  <c r="AR11"/>
  <c r="AK854"/>
  <c r="AT854"/>
  <c r="AS854"/>
  <c r="AK289"/>
  <c r="AT289"/>
  <c r="AS289"/>
  <c r="W201"/>
  <c r="AV289"/>
  <c r="AU289"/>
  <c r="AU533"/>
  <c r="AV533"/>
  <c r="AV46"/>
  <c r="AK798"/>
  <c r="AT798"/>
  <c r="AS798"/>
  <c r="W796"/>
  <c r="AV874"/>
  <c r="AU874"/>
  <c r="AQ873"/>
  <c r="AE616"/>
  <c r="O614"/>
  <c r="AF616"/>
  <c r="AV357"/>
  <c r="AU357"/>
  <c r="AQ356"/>
  <c r="AL854"/>
  <c r="X821"/>
  <c r="AM854"/>
  <c r="AC1062"/>
  <c r="AH1064"/>
  <c r="AM11"/>
  <c r="Y13"/>
  <c r="AQ1126"/>
  <c r="AV1128"/>
  <c r="AU1128"/>
  <c r="AV788"/>
  <c r="AF358"/>
  <c r="AE358"/>
  <c r="O357"/>
  <c r="AK501"/>
  <c r="AT501"/>
  <c r="AS501"/>
  <c r="W499"/>
  <c r="AU501"/>
  <c r="AL289"/>
  <c r="X201"/>
  <c r="AC981"/>
  <c r="AH983"/>
  <c r="AF533"/>
  <c r="AK931"/>
  <c r="O931"/>
  <c r="AE933"/>
  <c r="AF933"/>
  <c r="AL905"/>
  <c r="AV11"/>
  <c r="AQ13"/>
  <c r="AR614"/>
  <c r="V613"/>
  <c r="O1062"/>
  <c r="AE1062"/>
  <c r="AE1064"/>
  <c r="AR796"/>
  <c r="V788"/>
  <c r="AR788"/>
  <c r="O1128"/>
  <c r="AE1129"/>
  <c r="AG930"/>
  <c r="AE289"/>
  <c r="AF289"/>
  <c r="W873"/>
  <c r="AM48"/>
  <c r="AG15"/>
  <c r="AH15"/>
  <c r="AE675"/>
  <c r="AF675"/>
  <c r="O654"/>
  <c r="AL1128"/>
  <c r="X1126"/>
  <c r="AL1126"/>
  <c r="M17"/>
  <c r="M26"/>
  <c r="P873"/>
  <c r="AV796"/>
  <c r="AU796"/>
  <c r="AT1126"/>
  <c r="AK1126"/>
  <c r="AE685"/>
  <c r="AF685"/>
  <c r="V1062"/>
  <c r="AR1062"/>
  <c r="AR1064"/>
  <c r="AT906"/>
  <c r="AK906"/>
  <c r="W905"/>
  <c r="AS906"/>
  <c r="AU906"/>
  <c r="AM501"/>
  <c r="Y499"/>
  <c r="AM1062"/>
  <c r="AM46"/>
  <c r="AV654"/>
  <c r="AU654"/>
  <c r="V1126"/>
  <c r="AR1126"/>
  <c r="AR1128"/>
  <c r="AC1126"/>
  <c r="AH1126"/>
  <c r="AH1128"/>
  <c r="AU798"/>
  <c r="AK15"/>
  <c r="AT15"/>
  <c r="AS15"/>
  <c r="AL15"/>
  <c r="AS1128"/>
  <c r="AL614"/>
  <c r="X613"/>
  <c r="AM614"/>
  <c r="AV15"/>
  <c r="AU15"/>
  <c r="AK1064"/>
  <c r="AT1064"/>
  <c r="AS1064"/>
  <c r="W1062"/>
  <c r="AL1062"/>
  <c r="AE273"/>
  <c r="AF273"/>
  <c r="AH654"/>
  <c r="AL499"/>
  <c r="X491"/>
  <c r="P16"/>
  <c r="AE706"/>
  <c r="AF706"/>
  <c r="AE876"/>
  <c r="O874"/>
  <c r="AM905"/>
  <c r="AF821"/>
  <c r="O46"/>
  <c r="AE46"/>
  <c r="AE48"/>
  <c r="O11"/>
  <c r="AM983"/>
  <c r="Y981"/>
  <c r="AM981"/>
  <c r="AL1064"/>
  <c r="AE454"/>
  <c r="AF454"/>
  <c r="AG720"/>
  <c r="AH720"/>
  <c r="AT882"/>
  <c r="Q16"/>
  <c r="AG16"/>
  <c r="AG14"/>
  <c r="AF48"/>
  <c r="AU821"/>
  <c r="AV821"/>
  <c r="AC356"/>
  <c r="AV1064"/>
  <c r="AU1064"/>
  <c r="AQ1062"/>
  <c r="AH533"/>
  <c r="AL882"/>
  <c r="X873"/>
  <c r="AL768"/>
  <c r="AM768"/>
  <c r="AT821"/>
  <c r="AS821"/>
  <c r="AK821"/>
  <c r="M598"/>
  <c r="AE598"/>
  <c r="AE599"/>
  <c r="AK890"/>
  <c r="AT890"/>
  <c r="AS890"/>
  <c r="AE499"/>
  <c r="O491"/>
  <c r="AE491"/>
  <c r="M983"/>
  <c r="M981"/>
  <c r="AE1046"/>
  <c r="AE713"/>
  <c r="AF713"/>
  <c r="AV614"/>
  <c r="AU614"/>
  <c r="AQ613"/>
  <c r="R356"/>
  <c r="R353"/>
  <c r="P13"/>
  <c r="AF11"/>
  <c r="AL890"/>
  <c r="AK48"/>
  <c r="AS48"/>
  <c r="W46"/>
  <c r="AU46"/>
  <c r="W11"/>
  <c r="AT48"/>
  <c r="AS983"/>
  <c r="W981"/>
  <c r="AK983"/>
  <c r="AT983"/>
  <c r="AG983"/>
  <c r="Q981"/>
  <c r="AG981"/>
  <c r="AH199"/>
  <c r="Q1062"/>
  <c r="AG1062"/>
  <c r="AG1064"/>
  <c r="AL798"/>
  <c r="X796"/>
  <c r="AM798"/>
  <c r="AE216"/>
  <c r="AF216"/>
  <c r="O201"/>
  <c r="AS768"/>
  <c r="AT768"/>
  <c r="AK768"/>
  <c r="AG199"/>
  <c r="AF46"/>
  <c r="AV12"/>
  <c r="AU12"/>
  <c r="AM1128"/>
  <c r="Y1126"/>
  <c r="AK613"/>
  <c r="AT613"/>
  <c r="AS613"/>
  <c r="AC16"/>
  <c r="AC17"/>
  <c r="AC26"/>
  <c r="AH14"/>
  <c r="AS533"/>
  <c r="O199"/>
  <c r="AE201"/>
  <c r="O14"/>
  <c r="AF201"/>
  <c r="AV613"/>
  <c r="AU613"/>
  <c r="AV1062"/>
  <c r="AU1062"/>
  <c r="AF1062"/>
  <c r="AL796"/>
  <c r="X788"/>
  <c r="AM796"/>
  <c r="AL613"/>
  <c r="AM613"/>
  <c r="AH1062"/>
  <c r="AE614"/>
  <c r="O613"/>
  <c r="AF614"/>
  <c r="AR13"/>
  <c r="V17"/>
  <c r="AR17"/>
  <c r="AE768"/>
  <c r="AF768"/>
  <c r="O873"/>
  <c r="AE873"/>
  <c r="AE874"/>
  <c r="W13"/>
  <c r="AK11"/>
  <c r="AT11"/>
  <c r="AS11"/>
  <c r="AE654"/>
  <c r="AF654"/>
  <c r="AL873"/>
  <c r="AM873"/>
  <c r="AC353"/>
  <c r="AH356"/>
  <c r="AM499"/>
  <c r="Y491"/>
  <c r="AF873"/>
  <c r="AE1128"/>
  <c r="O1126"/>
  <c r="AE1126"/>
  <c r="AU11"/>
  <c r="AK499"/>
  <c r="AT499"/>
  <c r="AS499"/>
  <c r="W491"/>
  <c r="AU499"/>
  <c r="Q353"/>
  <c r="X13"/>
  <c r="AL11"/>
  <c r="AE475"/>
  <c r="M356"/>
  <c r="M353"/>
  <c r="AS981"/>
  <c r="AK981"/>
  <c r="AT981"/>
  <c r="AL491"/>
  <c r="AF874"/>
  <c r="AU13"/>
  <c r="AQ17"/>
  <c r="AV13"/>
  <c r="AL821"/>
  <c r="AM821"/>
  <c r="AV873"/>
  <c r="AU873"/>
  <c r="AE906"/>
  <c r="O905"/>
  <c r="AE905"/>
  <c r="AM1126"/>
  <c r="Q17"/>
  <c r="Q26"/>
  <c r="AH981"/>
  <c r="AL981"/>
  <c r="AE983"/>
  <c r="O981"/>
  <c r="AF983"/>
  <c r="AL46"/>
  <c r="AV930"/>
  <c r="AR930"/>
  <c r="P17"/>
  <c r="P26"/>
  <c r="AV356"/>
  <c r="AQ353"/>
  <c r="AG13"/>
  <c r="AT873"/>
  <c r="AS873"/>
  <c r="AK873"/>
  <c r="AU1126"/>
  <c r="AV1126"/>
  <c r="AK905"/>
  <c r="AS905"/>
  <c r="AT905"/>
  <c r="AU905"/>
  <c r="AS1126"/>
  <c r="X199"/>
  <c r="AL201"/>
  <c r="X14"/>
  <c r="AE357"/>
  <c r="AF357"/>
  <c r="AM13"/>
  <c r="AK796"/>
  <c r="AS796"/>
  <c r="AT796"/>
  <c r="W788"/>
  <c r="AG905"/>
  <c r="AU981"/>
  <c r="AV981"/>
  <c r="AF1126"/>
  <c r="AH16"/>
  <c r="AT46"/>
  <c r="AS46"/>
  <c r="AK46"/>
  <c r="O13"/>
  <c r="AF13"/>
  <c r="AE11"/>
  <c r="AK1062"/>
  <c r="AT1062"/>
  <c r="AS1062"/>
  <c r="AR613"/>
  <c r="V356"/>
  <c r="O930"/>
  <c r="AE931"/>
  <c r="AF931"/>
  <c r="AT201"/>
  <c r="AS201"/>
  <c r="W199"/>
  <c r="AK201"/>
  <c r="W14"/>
  <c r="AU201"/>
  <c r="AV201"/>
  <c r="AF491"/>
  <c r="P356"/>
  <c r="AG356"/>
  <c r="AG491"/>
  <c r="AG873"/>
  <c r="Y199"/>
  <c r="AM199"/>
  <c r="AM201"/>
  <c r="Y14"/>
  <c r="AT14"/>
  <c r="AK14"/>
  <c r="AS14"/>
  <c r="W16"/>
  <c r="AU14"/>
  <c r="AR356"/>
  <c r="V353"/>
  <c r="AR353"/>
  <c r="AK788"/>
  <c r="AS788"/>
  <c r="AT788"/>
  <c r="AU788"/>
  <c r="O356"/>
  <c r="AF356"/>
  <c r="AE981"/>
  <c r="AF981"/>
  <c r="AL14"/>
  <c r="X16"/>
  <c r="P353"/>
  <c r="AK199"/>
  <c r="AT199"/>
  <c r="AS199"/>
  <c r="AV199"/>
  <c r="AU199"/>
  <c r="AL199"/>
  <c r="AK491"/>
  <c r="AT491"/>
  <c r="AS491"/>
  <c r="W356"/>
  <c r="AU491"/>
  <c r="AM491"/>
  <c r="Y356"/>
  <c r="AQ26"/>
  <c r="AV17"/>
  <c r="AL788"/>
  <c r="AM788"/>
  <c r="X356"/>
  <c r="O16"/>
  <c r="AE14"/>
  <c r="AF14"/>
  <c r="AE13"/>
  <c r="Y16"/>
  <c r="AM14"/>
  <c r="AE930"/>
  <c r="AF930"/>
  <c r="AF905"/>
  <c r="AV353"/>
  <c r="X17"/>
  <c r="AL13"/>
  <c r="AH353"/>
  <c r="AT13"/>
  <c r="AK13"/>
  <c r="AS13"/>
  <c r="AE613"/>
  <c r="AF613"/>
  <c r="AE199"/>
  <c r="AF199"/>
  <c r="Y353"/>
  <c r="AM356"/>
  <c r="AL16"/>
  <c r="AM16"/>
  <c r="Y17"/>
  <c r="Y26"/>
  <c r="AE16"/>
  <c r="AF16"/>
  <c r="AL356"/>
  <c r="X353"/>
  <c r="AK356"/>
  <c r="AT356"/>
  <c r="AS356"/>
  <c r="W353"/>
  <c r="AU356"/>
  <c r="AT16"/>
  <c r="AK16"/>
  <c r="AS16"/>
  <c r="AU16"/>
  <c r="X26"/>
  <c r="AL26"/>
  <c r="AL17"/>
  <c r="O17"/>
  <c r="O26"/>
  <c r="O353"/>
  <c r="AE353"/>
  <c r="AE356"/>
  <c r="W17"/>
  <c r="AG353"/>
  <c r="AF353"/>
  <c r="AK353"/>
  <c r="AT353"/>
  <c r="AS353"/>
  <c r="AU353"/>
  <c r="AK17"/>
  <c r="AT17"/>
  <c r="AU17"/>
  <c r="AL353"/>
  <c r="AM353"/>
</calcChain>
</file>

<file path=xl/comments1.xml><?xml version="1.0" encoding="utf-8"?>
<comments xmlns="http://schemas.openxmlformats.org/spreadsheetml/2006/main">
  <authors>
    <author>mzaninovic</author>
    <author>User</author>
    <author>korisnik</author>
  </authors>
  <commentList>
    <comment ref="V21" authorId="0">
      <text>
        <r>
          <rPr>
            <b/>
            <sz val="9"/>
            <rFont val="Tahoma"/>
            <family val="2"/>
            <charset val="238"/>
          </rPr>
          <t>mzaninovic:</t>
        </r>
        <r>
          <rPr>
            <sz val="9"/>
            <rFont val="Tahoma"/>
            <family val="2"/>
            <charset val="238"/>
          </rPr>
          <t xml:space="preserve">
Povrat zajma u drž prorač.</t>
        </r>
      </text>
    </comment>
    <comment ref="W21" authorId="0">
      <text>
        <r>
          <rPr>
            <b/>
            <sz val="9"/>
            <rFont val="Tahoma"/>
            <family val="2"/>
            <charset val="238"/>
          </rPr>
          <t>mzaninovic:</t>
        </r>
        <r>
          <rPr>
            <sz val="9"/>
            <rFont val="Tahoma"/>
            <family val="2"/>
            <charset val="238"/>
          </rPr>
          <t xml:space="preserve">
Povrat zajma u drž prorač.</t>
        </r>
      </text>
    </comment>
    <comment ref="L82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Muzej-izložbe-33.000
Muzej-edukat.-20.000
</t>
        </r>
      </text>
    </comment>
    <comment ref="M82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Muzej-izložbe-33.000
Muzej-edukat.-20.000
</t>
        </r>
      </text>
    </comment>
    <comment ref="N82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Općina-fisk.izr.-420.000
Muzej-arheolog..-50.000
Muzej-restauracije- 12.000
Muzej-rib.brod-20.000
Muzej-katalog-5.000
Knjižnica-prip.-6.000
Vrtić-13.560
za drva - 14.700</t>
        </r>
      </text>
    </comment>
    <comment ref="O82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Općina-fisk.izr.-420.000
Muzej-arheolog..-50.000
Muzej-restauracije- 12.000
Muzej-rib.brod-20.000
Muzej-katalog-5.000
Knjižnica-prip.-6.000
Vrtić-13.560
za drva - 14.700</t>
        </r>
      </text>
    </comment>
    <comment ref="P82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za drva - 200
Muzej-7.400</t>
        </r>
      </text>
    </comment>
    <comment ref="Q82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Fisk.izravnj.-210.539,04
za drva - 200
Dj.vrtić - 7.400
Tvrđava Vrb.-33.180,7</t>
        </r>
      </text>
    </comment>
    <comment ref="R82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Fisk.izravnj.-210.539,04
za drva - 200
Dj.vrtić - 7.400
Tvrđava Vrb.-33.180,7</t>
        </r>
      </text>
    </comment>
    <comment ref="V82" authorId="0">
      <text>
        <r>
          <rPr>
            <b/>
            <sz val="9"/>
            <rFont val="Tahoma"/>
            <family val="2"/>
            <charset val="238"/>
          </rPr>
          <t>mzaninovic:</t>
        </r>
        <r>
          <rPr>
            <sz val="9"/>
            <rFont val="Tahoma"/>
            <family val="2"/>
            <charset val="238"/>
          </rPr>
          <t xml:space="preserve">
muzej 59500
izbori 24600
vrtić 73000</t>
        </r>
      </text>
    </comment>
    <comment ref="W82" authorId="0">
      <text>
        <r>
          <rPr>
            <b/>
            <sz val="9"/>
            <rFont val="Tahoma"/>
            <family val="2"/>
            <charset val="238"/>
          </rPr>
          <t>mzaninovic:</t>
        </r>
        <r>
          <rPr>
            <sz val="9"/>
            <rFont val="Tahoma"/>
            <family val="2"/>
            <charset val="238"/>
          </rPr>
          <t xml:space="preserve">
muzej 59500
izbori 24600
vrtić 73000</t>
        </r>
      </text>
    </comment>
    <comment ref="X82" authorId="0">
      <text>
        <r>
          <rPr>
            <b/>
            <sz val="9"/>
            <rFont val="Tahoma"/>
            <family val="2"/>
            <charset val="238"/>
          </rPr>
          <t>mzaninovic:</t>
        </r>
        <r>
          <rPr>
            <sz val="9"/>
            <rFont val="Tahoma"/>
            <family val="2"/>
            <charset val="238"/>
          </rPr>
          <t xml:space="preserve">
muzej 40000
</t>
        </r>
      </text>
    </comment>
    <comment ref="L83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soc.pom.drva-12.600
Muzej-rest.-10.000
Lok.izbori-98.629
crkva Gdinj-8.000</t>
        </r>
      </text>
    </comment>
    <comment ref="M83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soc.pom.drva-12.600
Muzej-rest.-10.000
Lok.izbori-98.629
crkva Gdinj-8.000</t>
        </r>
      </text>
    </comment>
    <comment ref="N83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Vrtić-15.000
</t>
        </r>
      </text>
    </comment>
    <comment ref="O83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Vrtić-15.000
</t>
        </r>
      </text>
    </comment>
    <comment ref="P83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Vrtić-2.000
Muzej-2000
</t>
        </r>
      </text>
    </comment>
    <comment ref="Q83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Vrtić-2.000
Muzej-7.000
</t>
        </r>
      </text>
    </comment>
    <comment ref="R83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Vrtić-2.000
Muzej-7.000
</t>
        </r>
      </text>
    </comment>
    <comment ref="V83" authorId="0">
      <text>
        <r>
          <rPr>
            <b/>
            <sz val="9"/>
            <rFont val="Tahoma"/>
            <family val="2"/>
            <charset val="238"/>
          </rPr>
          <t>mzaninovic:</t>
        </r>
        <r>
          <rPr>
            <sz val="9"/>
            <rFont val="Tahoma"/>
            <family val="2"/>
            <charset val="238"/>
          </rPr>
          <t xml:space="preserve">
vrtić
</t>
        </r>
      </text>
    </comment>
    <comment ref="W83" authorId="0">
      <text>
        <r>
          <rPr>
            <b/>
            <sz val="9"/>
            <rFont val="Tahoma"/>
            <family val="2"/>
            <charset val="238"/>
          </rPr>
          <t>mzaninovic:</t>
        </r>
        <r>
          <rPr>
            <sz val="9"/>
            <rFont val="Tahoma"/>
            <family val="2"/>
            <charset val="238"/>
          </rPr>
          <t xml:space="preserve">
vrtić
</t>
        </r>
      </text>
    </comment>
    <comment ref="L86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Muzej Vinogr.zb.-1.500.000
most Vrboska -500.000
Knjižnica-knjige-32.000</t>
        </r>
      </text>
    </comment>
    <comment ref="M86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Muzej Vinogr.zb.-1.500.000
most Vrboska -500.000
Knjižnica-knjige-32.000</t>
        </r>
      </text>
    </comment>
    <comment ref="N86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Muzej-interijer-100.000
Riva -420.000
Knjižnica-knjige-35.000</t>
        </r>
      </text>
    </comment>
    <comment ref="O86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Muzej-interijer-100.000
Riva -420.000
Knjižnica-knjige-35.000</t>
        </r>
      </text>
    </comment>
    <comment ref="P86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Knjižnica-knjige-4.700
Dj.vrtić - 358.300</t>
        </r>
      </text>
    </comment>
    <comment ref="Q86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Knjižnica-knjige-8.600
Muzej-kuća Dobrović-33.358,79
Sportski objekti-56.739,78</t>
        </r>
      </text>
    </comment>
    <comment ref="R86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Knjižnica-knjige-8.600
Muzej-kuća Dobrović-33.358,79
Sportski objekti-56.739,78</t>
        </r>
      </text>
    </comment>
    <comment ref="V86" authorId="0">
      <text>
        <r>
          <rPr>
            <b/>
            <sz val="9"/>
            <rFont val="Tahoma"/>
            <family val="2"/>
            <charset val="238"/>
          </rPr>
          <t>mzaninovic:</t>
        </r>
        <r>
          <rPr>
            <sz val="9"/>
            <rFont val="Tahoma"/>
            <family val="2"/>
            <charset val="238"/>
          </rPr>
          <t xml:space="preserve">
Komp Biogrenline stara ambulanta 69570
Knjižnica 9700
trg Fabrio 67500
</t>
        </r>
      </text>
    </comment>
    <comment ref="W86" authorId="0">
      <text>
        <r>
          <rPr>
            <b/>
            <sz val="9"/>
            <rFont val="Tahoma"/>
            <family val="2"/>
            <charset val="238"/>
          </rPr>
          <t>mzaninovic:</t>
        </r>
        <r>
          <rPr>
            <sz val="9"/>
            <rFont val="Tahoma"/>
            <family val="2"/>
            <charset val="238"/>
          </rPr>
          <t xml:space="preserve">
Komp Biogrenline stara ambulanta 69570
Knjižnica 9700
trg Fabrio 67500
</t>
        </r>
      </text>
    </comment>
    <comment ref="X86" authorId="0">
      <text>
        <r>
          <rPr>
            <b/>
            <sz val="9"/>
            <rFont val="Tahoma"/>
            <family val="2"/>
            <charset val="238"/>
          </rPr>
          <t>mzaninovic:</t>
        </r>
        <r>
          <rPr>
            <sz val="9"/>
            <rFont val="Tahoma"/>
            <family val="2"/>
            <charset val="238"/>
          </rPr>
          <t xml:space="preserve">
knjižnica 10000
muzej 150000
za vrtić 500000
</t>
        </r>
      </text>
    </comment>
    <comment ref="AQ87" authorId="2">
      <text>
        <r>
          <rPr>
            <b/>
            <sz val="9"/>
            <rFont val="Times New Roman"/>
            <family val="1"/>
            <charset val="238"/>
          </rPr>
          <t>korisnik:</t>
        </r>
        <r>
          <rPr>
            <sz val="9"/>
            <rFont val="Times New Roman"/>
            <family val="1"/>
            <charset val="238"/>
          </rPr>
          <t xml:space="preserve">
stavljeno dok ne dojde nena za provjerit 636, knjižnica 6361, 6362- 13.700 
muzej - 62.500
</t>
        </r>
      </text>
    </comment>
    <comment ref="N88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šetnica-100.000
</t>
        </r>
      </text>
    </comment>
    <comment ref="O88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šetnica-100.000
</t>
        </r>
      </text>
    </comment>
    <comment ref="P88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šetnica</t>
        </r>
      </text>
    </comment>
    <comment ref="Q88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šetnica-Jelkom</t>
        </r>
      </text>
    </comment>
    <comment ref="R88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šetnica-Jelkom</t>
        </r>
      </text>
    </comment>
    <comment ref="X88" authorId="0">
      <text>
        <r>
          <rPr>
            <b/>
            <sz val="9"/>
            <rFont val="Tahoma"/>
            <family val="2"/>
            <charset val="238"/>
          </rPr>
          <t>mzaninovic:</t>
        </r>
        <r>
          <rPr>
            <sz val="9"/>
            <rFont val="Tahoma"/>
            <family val="2"/>
            <charset val="238"/>
          </rPr>
          <t xml:space="preserve">
vrtić opremanje</t>
        </r>
      </text>
    </comment>
    <comment ref="L89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Stg-judo-20.000</t>
        </r>
      </text>
    </comment>
    <comment ref="M89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Stg-judo-20.000</t>
        </r>
      </text>
    </comment>
    <comment ref="N89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Stg-judo-20.000</t>
        </r>
      </text>
    </comment>
    <comment ref="O89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Stg-judo-20.000</t>
        </r>
      </text>
    </comment>
    <comment ref="L92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šetnica Iga-400.000
</t>
        </r>
      </text>
    </comment>
    <comment ref="M92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šetnica Iga-400.000
</t>
        </r>
      </text>
    </comment>
    <comment ref="N92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Šetnica Iga-508.281
Staza bioraznolikosti-500.000</t>
        </r>
      </text>
    </comment>
    <comment ref="O92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Šetnica Iga-508.281
Staza bioraznolikosti-500.000</t>
        </r>
      </text>
    </comment>
    <comment ref="P92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Staza bioraznolikosti-66.400
Ribarski muzej Vrb.-199.000</t>
        </r>
      </text>
    </comment>
    <comment ref="Q92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Ribarski muzej Vrb.-200.400</t>
        </r>
      </text>
    </comment>
    <comment ref="R92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Ribarski muzej Vrb.-200.400</t>
        </r>
      </text>
    </comment>
    <comment ref="V92" authorId="0">
      <text>
        <r>
          <rPr>
            <b/>
            <sz val="9"/>
            <rFont val="Tahoma"/>
            <family val="2"/>
            <charset val="238"/>
          </rPr>
          <t>mzaninovic:</t>
        </r>
        <r>
          <rPr>
            <sz val="9"/>
            <rFont val="Tahoma"/>
            <family val="2"/>
            <charset val="238"/>
          </rPr>
          <t xml:space="preserve">
FLAG rib. Muzej
</t>
        </r>
      </text>
    </comment>
    <comment ref="W92" authorId="0">
      <text>
        <r>
          <rPr>
            <b/>
            <sz val="9"/>
            <rFont val="Tahoma"/>
            <family val="2"/>
            <charset val="238"/>
          </rPr>
          <t>mzaninovic:</t>
        </r>
        <r>
          <rPr>
            <sz val="9"/>
            <rFont val="Tahoma"/>
            <family val="2"/>
            <charset val="238"/>
          </rPr>
          <t xml:space="preserve">
FLAG rib. Muzej
</t>
        </r>
      </text>
    </comment>
    <comment ref="L99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Rec.dv.
otpadomjeri</t>
        </r>
      </text>
    </comment>
    <comment ref="M99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Rec.dv.
otpadomjeri</t>
        </r>
      </text>
    </comment>
    <comment ref="N99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oprema- 195.000</t>
        </r>
      </text>
    </comment>
    <comment ref="O99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oprema- 195.000</t>
        </r>
      </text>
    </comment>
    <comment ref="P99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deponij-150.000
ex.ambul.-159.250</t>
        </r>
      </text>
    </comment>
    <comment ref="Q99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ex.ambul.-159.250</t>
        </r>
      </text>
    </comment>
    <comment ref="R99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ex.ambul.-159.250</t>
        </r>
      </text>
    </comment>
    <comment ref="V99" authorId="0">
      <text>
        <r>
          <rPr>
            <b/>
            <sz val="9"/>
            <rFont val="Tahoma"/>
            <family val="2"/>
            <charset val="238"/>
          </rPr>
          <t>mzaninovic:</t>
        </r>
        <r>
          <rPr>
            <sz val="9"/>
            <rFont val="Tahoma"/>
            <family val="2"/>
            <charset val="238"/>
          </rPr>
          <t xml:space="preserve">
Stara ambulanta
</t>
        </r>
      </text>
    </comment>
    <comment ref="W99" authorId="0">
      <text>
        <r>
          <rPr>
            <b/>
            <sz val="9"/>
            <rFont val="Tahoma"/>
            <family val="2"/>
            <charset val="238"/>
          </rPr>
          <t>mzaninovic:</t>
        </r>
        <r>
          <rPr>
            <sz val="9"/>
            <rFont val="Tahoma"/>
            <family val="2"/>
            <charset val="238"/>
          </rPr>
          <t xml:space="preserve">
Stara ambulanta
</t>
        </r>
      </text>
    </comment>
    <comment ref="X99" authorId="0">
      <text>
        <r>
          <rPr>
            <b/>
            <sz val="9"/>
            <rFont val="Tahoma"/>
            <family val="2"/>
            <charset val="238"/>
          </rPr>
          <t>mzaninovic:</t>
        </r>
        <r>
          <rPr>
            <sz val="9"/>
            <rFont val="Tahoma"/>
            <family val="2"/>
            <charset val="238"/>
          </rPr>
          <t xml:space="preserve">
fond deponij
</t>
        </r>
      </text>
    </comment>
    <comment ref="L100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Most Vrboska</t>
        </r>
      </text>
    </comment>
    <comment ref="M100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Most Vrboska</t>
        </r>
      </text>
    </comment>
    <comment ref="N100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most Vrb.-300.000</t>
        </r>
      </text>
    </comment>
    <comment ref="O100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most Vrb.-300.000</t>
        </r>
      </text>
    </comment>
    <comment ref="P100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</t>
        </r>
      </text>
    </comment>
    <comment ref="Q100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</t>
        </r>
      </text>
    </comment>
    <comment ref="R100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</t>
        </r>
      </text>
    </comment>
    <comment ref="AQ107" authorId="2">
      <text>
        <r>
          <rPr>
            <b/>
            <sz val="9"/>
            <rFont val="Times New Roman"/>
            <family val="1"/>
            <charset val="238"/>
          </rPr>
          <t>korisnik:</t>
        </r>
        <r>
          <rPr>
            <sz val="9"/>
            <rFont val="Times New Roman"/>
            <family val="1"/>
            <charset val="238"/>
          </rPr>
          <t xml:space="preserve">
Općina 1,65
Knjižnica 0,04
Muzej 0,04
</t>
        </r>
      </text>
    </comment>
    <comment ref="AQ110" authorId="2">
      <text>
        <r>
          <rPr>
            <b/>
            <sz val="9"/>
            <rFont val="Times New Roman"/>
            <family val="1"/>
            <charset val="238"/>
          </rPr>
          <t xml:space="preserve">korisnik:
</t>
        </r>
        <r>
          <rPr>
            <sz val="9"/>
            <rFont val="Times New Roman"/>
            <family val="1"/>
            <charset val="238"/>
          </rPr>
          <t>Vrtić 0,13</t>
        </r>
      </text>
    </comment>
    <comment ref="L151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Vrtić-535.000
Knjižnica-15.000
Muzej-15.000</t>
        </r>
      </text>
    </comment>
    <comment ref="M151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Vrtić-535.000
Knjižnica-15.000
Muzej-15.000</t>
        </r>
      </text>
    </comment>
    <comment ref="N151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Vrtić-700.000
Knjižnica-15.000
Muzej-5.000</t>
        </r>
      </text>
    </comment>
    <comment ref="O151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Vrtić-700.000
Knjižnica-15.000
Muzej-5.000</t>
        </r>
      </text>
    </comment>
    <comment ref="P151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Vrtić-745.000
Knjižnica-15.000
Muzej-10.000</t>
        </r>
      </text>
    </comment>
    <comment ref="Q151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Vrtić-105.000
Knjižnica-2.000
Muzej-6.000</t>
        </r>
      </text>
    </comment>
    <comment ref="R151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Vrtić-105.000
Knjižnica-2.000
Muzej-6.000</t>
        </r>
      </text>
    </comment>
    <comment ref="V151" authorId="0">
      <text>
        <r>
          <rPr>
            <sz val="9"/>
            <rFont val="Tahoma"/>
            <family val="2"/>
            <charset val="238"/>
          </rPr>
          <t xml:space="preserve">
Vrtić-121.000
Knjižnica-2.000
Muzej-6.000</t>
        </r>
      </text>
    </comment>
    <comment ref="W151" authorId="0">
      <text>
        <r>
          <rPr>
            <sz val="9"/>
            <rFont val="Tahoma"/>
            <family val="2"/>
            <charset val="238"/>
          </rPr>
          <t xml:space="preserve">
Vrtić-121.000
Knjižnica-2.000
Muzej-6.000</t>
        </r>
      </text>
    </comment>
    <comment ref="X151" authorId="0">
      <text>
        <r>
          <rPr>
            <sz val="9"/>
            <rFont val="Tahoma"/>
            <family val="2"/>
            <charset val="238"/>
          </rPr>
          <t xml:space="preserve">
Vrtić-135.000
Knjižnica-2.000
Muzej-6.000</t>
        </r>
      </text>
    </comment>
    <comment ref="AQ151" authorId="2">
      <text>
        <r>
          <rPr>
            <b/>
            <sz val="9"/>
            <rFont val="Times New Roman"/>
            <family val="1"/>
            <charset val="238"/>
          </rPr>
          <t>korisnik:</t>
        </r>
        <r>
          <rPr>
            <sz val="9"/>
            <rFont val="Times New Roman"/>
            <family val="1"/>
            <charset val="238"/>
          </rPr>
          <t xml:space="preserve">
Vrtić - 98.421,48 
Knjižnica 2.879,11
Muzej 5.564,42</t>
        </r>
      </text>
    </comment>
    <comment ref="L162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UPU Gromin D.
UPU Raskovica</t>
        </r>
      </text>
    </comment>
    <comment ref="M162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UPU Gromin D.
UPU Raskovica</t>
        </r>
      </text>
    </comment>
    <comment ref="N162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UPU </t>
        </r>
      </text>
    </comment>
    <comment ref="O162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UPU </t>
        </r>
      </text>
    </comment>
    <comment ref="P162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UPU </t>
        </r>
      </text>
    </comment>
    <comment ref="Q162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UPU </t>
        </r>
      </text>
    </comment>
    <comment ref="R162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UPU </t>
        </r>
      </text>
    </comment>
    <comment ref="N171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Hrv.vode</t>
        </r>
      </text>
    </comment>
    <comment ref="O171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Hrv.vode</t>
        </r>
      </text>
    </comment>
    <comment ref="P171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Hrv.vode
</t>
        </r>
      </text>
    </comment>
    <comment ref="Q171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Hrv.vode
</t>
        </r>
      </text>
    </comment>
    <comment ref="R171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Hrv.vode
</t>
        </r>
      </text>
    </comment>
    <comment ref="AQ171" authorId="2">
      <text>
        <r>
          <rPr>
            <b/>
            <sz val="9"/>
            <rFont val="Times New Roman"/>
            <family val="1"/>
            <charset val="238"/>
          </rPr>
          <t>korisnik:</t>
        </r>
        <r>
          <rPr>
            <sz val="9"/>
            <rFont val="Times New Roman"/>
            <family val="1"/>
            <charset val="238"/>
          </rPr>
          <t xml:space="preserve">
Općina 20.333,94 
Vrtić 18.375,76
</t>
        </r>
      </text>
    </comment>
    <comment ref="P179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1450x220=319.000
+ 101.000</t>
        </r>
      </text>
    </comment>
    <comment ref="Q179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1450x220=319.000
+ 101.000</t>
        </r>
      </text>
    </comment>
    <comment ref="R179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1450x220=319.000
+ 101.000</t>
        </r>
      </text>
    </comment>
    <comment ref="S461" authorId="0">
      <text>
        <r>
          <rPr>
            <b/>
            <sz val="9"/>
            <rFont val="Tahoma"/>
            <family val="2"/>
            <charset val="238"/>
          </rPr>
          <t>mzaninovic:</t>
        </r>
        <r>
          <rPr>
            <sz val="9"/>
            <rFont val="Tahoma"/>
            <family val="2"/>
            <charset val="238"/>
          </rPr>
          <t xml:space="preserve">
klime</t>
        </r>
      </text>
    </comment>
    <comment ref="S463" authorId="0">
      <text>
        <r>
          <rPr>
            <b/>
            <sz val="9"/>
            <rFont val="Tahoma"/>
            <family val="2"/>
            <charset val="238"/>
          </rPr>
          <t>mzaninovic:</t>
        </r>
        <r>
          <rPr>
            <sz val="9"/>
            <rFont val="Tahoma"/>
            <family val="2"/>
            <charset val="238"/>
          </rPr>
          <t xml:space="preserve">
umo neurofeedback
</t>
        </r>
      </text>
    </comment>
    <comment ref="V512" authorId="0">
      <text>
        <r>
          <rPr>
            <b/>
            <sz val="9"/>
            <rFont val="Tahoma"/>
            <family val="2"/>
            <charset val="238"/>
          </rPr>
          <t>mzaninovic:</t>
        </r>
        <r>
          <rPr>
            <sz val="9"/>
            <rFont val="Tahoma"/>
            <family val="2"/>
            <charset val="238"/>
          </rPr>
          <t xml:space="preserve">
za sezonce 20000
</t>
        </r>
      </text>
    </comment>
    <comment ref="W512" authorId="0">
      <text>
        <r>
          <rPr>
            <b/>
            <sz val="9"/>
            <rFont val="Tahoma"/>
            <family val="2"/>
            <charset val="238"/>
          </rPr>
          <t>mzaninovic:</t>
        </r>
        <r>
          <rPr>
            <sz val="9"/>
            <rFont val="Tahoma"/>
            <family val="2"/>
            <charset val="238"/>
          </rPr>
          <t xml:space="preserve">
za sezonce 20000
</t>
        </r>
      </text>
    </comment>
    <comment ref="L576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Min.-500.000
Lučka u.-500.000
tur.prist.-120.000
SDŽ-200.000</t>
        </r>
      </text>
    </comment>
    <comment ref="M576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Min.-500.000
Lučka u.-500.000
tur.prist.-120.000
SDŽ-200.000</t>
        </r>
      </text>
    </comment>
    <comment ref="P583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trg Fabrio Vrb.-37.660</t>
        </r>
      </text>
    </comment>
    <comment ref="Q583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trg Fabrio Vrb.-35.660</t>
        </r>
      </text>
    </comment>
    <comment ref="R583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trg Fabrio Vrb.-35.660</t>
        </r>
      </text>
    </comment>
    <comment ref="L584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Lag-400.000</t>
        </r>
      </text>
    </comment>
    <comment ref="M584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Lag-400.000</t>
        </r>
      </text>
    </comment>
    <comment ref="N584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SDŽ-100.000</t>
        </r>
      </text>
    </comment>
    <comment ref="O584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SDŽ-100.000</t>
        </r>
      </text>
    </comment>
    <comment ref="P591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Sidrišta Soline i Zečevo</t>
        </r>
      </text>
    </comment>
    <comment ref="Q591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Mul Pokrvenik-20.000
Pontoni-20.000</t>
        </r>
      </text>
    </comment>
    <comment ref="R591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Mul Pokrvenik-20.000
Pontoni-20.000</t>
        </r>
      </text>
    </comment>
    <comment ref="N596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SDŽ-120.000</t>
        </r>
      </text>
    </comment>
    <comment ref="O596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SDŽ-120.000</t>
        </r>
      </text>
    </comment>
    <comment ref="L636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Jelsa plus-oborinska od.</t>
        </r>
      </text>
    </comment>
    <comment ref="M636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Jelsa plus-oborinska od.</t>
        </r>
      </text>
    </comment>
    <comment ref="N636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Jelsa plus-oborinska od.</t>
        </r>
      </text>
    </comment>
    <comment ref="O636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Jelsa plus-oborinska od.</t>
        </r>
      </text>
    </comment>
    <comment ref="P636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Jelsa plus-oborinska od.</t>
        </r>
      </text>
    </comment>
    <comment ref="Q636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Jelsa plus-oborinska od.</t>
        </r>
      </text>
    </comment>
    <comment ref="R636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Jelsa plus-oborinska od.</t>
        </r>
      </text>
    </comment>
    <comment ref="N641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suf.75%FZOEU-1.500.000</t>
        </r>
      </text>
    </comment>
    <comment ref="O641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suf.75%FZOEU-1.500.000</t>
        </r>
      </text>
    </comment>
    <comment ref="P641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suf.75%FZOEU-150.000</t>
        </r>
      </text>
    </comment>
    <comment ref="Q641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suf.75%FZOEU-150.000</t>
        </r>
      </text>
    </comment>
    <comment ref="R641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suf.75%FZOEU-150.000</t>
        </r>
      </text>
    </comment>
    <comment ref="P759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FZOEU-159.000</t>
        </r>
      </text>
    </comment>
    <comment ref="Q759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FZOEU-159.000</t>
        </r>
      </text>
    </comment>
    <comment ref="R759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FZOEU-159.000</t>
        </r>
      </text>
    </comment>
    <comment ref="P766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Flag-199.000
</t>
        </r>
      </text>
    </comment>
    <comment ref="Q766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Flag-498.000
</t>
        </r>
      </text>
    </comment>
    <comment ref="R766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Flag-498.000
</t>
        </r>
      </text>
    </comment>
    <comment ref="L836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TZJ-290.000
TZV-50.000</t>
        </r>
      </text>
    </comment>
    <comment ref="M836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TZJ-290.000
TZV-50.000</t>
        </r>
      </text>
    </comment>
    <comment ref="Q836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TZ Jelsa 80.000
TZ Vrboska - 7.000</t>
        </r>
      </text>
    </comment>
    <comment ref="R836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TZ Jelsa 80.000
TZ Vrboska - 7.000</t>
        </r>
      </text>
    </comment>
    <comment ref="L1167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monografija o Jelsi-50.000
edukativni pr.-27.000</t>
        </r>
      </text>
    </comment>
    <comment ref="M1167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monografija o Jelsi-50.000
edukativni pr.-27.000</t>
        </r>
      </text>
    </comment>
    <comment ref="N1167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Rib.muzej,privr.-10.000
radionice-10.000</t>
        </r>
      </text>
    </comment>
    <comment ref="O1167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Rib.muzej,privr.-10.000
radionice-10.000</t>
        </r>
      </text>
    </comment>
    <comment ref="P1167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Rib.muzej,privr.-10.000
radionice-10.000</t>
        </r>
      </text>
    </comment>
    <comment ref="L1219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zgrada-1.578.476
sred.min.-1.500.000
projekt okoliš-18.750</t>
        </r>
      </text>
    </comment>
    <comment ref="M1219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zgrada-1.578.476
sred.min.-1.500.000
projekt okoliš-18.750</t>
        </r>
      </text>
    </comment>
    <comment ref="N1219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okoliš-450.000
projekt okoliš-18.750
Nadzor-18.730
interijer-100.000</t>
        </r>
      </text>
    </comment>
    <comment ref="O1219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okoliš-450.000
projekt okoliš-18.750
Nadzor-18.730
interijer-100.000</t>
        </r>
      </text>
    </comment>
    <comment ref="P1219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okoliš-450.000
projekt okoliš-18.750
Nadzor-18.730
interijer-100.000</t>
        </r>
      </text>
    </comment>
    <comment ref="Q1219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okoliš-450.000
projekt okoliš-18.750
Nadzor-18.730
interijer-100.000</t>
        </r>
      </text>
    </comment>
    <comment ref="R1219" authorId="1">
      <text>
        <r>
          <rPr>
            <b/>
            <sz val="10"/>
            <rFont val="Tahoma"/>
            <family val="2"/>
            <charset val="238"/>
          </rPr>
          <t>User:</t>
        </r>
        <r>
          <rPr>
            <sz val="10"/>
            <rFont val="Tahoma"/>
            <family val="2"/>
            <charset val="238"/>
          </rPr>
          <t xml:space="preserve">
okoliš-450.000
projekt okoliš-18.750
Nadzor-18.730
interijer-100.000</t>
        </r>
      </text>
    </comment>
  </commentList>
</comments>
</file>

<file path=xl/sharedStrings.xml><?xml version="1.0" encoding="utf-8"?>
<sst xmlns="http://schemas.openxmlformats.org/spreadsheetml/2006/main" count="1381" uniqueCount="920">
  <si>
    <t xml:space="preserve">PREGLED IZVRŠENJA PRORAČUNA OPĆINE JELSA ZA 2024.GOD. </t>
  </si>
  <si>
    <t xml:space="preserve">                                                  PO ORGANIZACIJSKOJ, PROGRAMSKOJ  I FUNKCIJSKOJ KLASIFIKACIJI</t>
  </si>
  <si>
    <t>I. OPĆI DIO</t>
  </si>
  <si>
    <t>A. RAČUN PRIHODA I RASHODA</t>
  </si>
  <si>
    <t>Izvršeno 2021.</t>
  </si>
  <si>
    <t>Izvršeno  2022.</t>
  </si>
  <si>
    <t>Proračun  2023.</t>
  </si>
  <si>
    <t>Izmjene  2023.</t>
  </si>
  <si>
    <t>Izvršeno 2024.</t>
  </si>
  <si>
    <t>Proračun</t>
  </si>
  <si>
    <t xml:space="preserve">Proračun </t>
  </si>
  <si>
    <t>Proračun 2025</t>
  </si>
  <si>
    <t>Projekcija 2026.</t>
  </si>
  <si>
    <t>Izvršeno</t>
  </si>
  <si>
    <t>Ind. 2/1</t>
  </si>
  <si>
    <t>Ind. 3/2</t>
  </si>
  <si>
    <t>Ind. 3/1</t>
  </si>
  <si>
    <t>Ind. 4/3</t>
  </si>
  <si>
    <t>Ind. 4/1</t>
  </si>
  <si>
    <t>kn</t>
  </si>
  <si>
    <t>€</t>
  </si>
  <si>
    <t>Izvršeno 2023.</t>
  </si>
  <si>
    <t>do 31.10.</t>
  </si>
  <si>
    <t xml:space="preserve">2024. </t>
  </si>
  <si>
    <t>2024.</t>
  </si>
  <si>
    <t>Izvorni plan</t>
  </si>
  <si>
    <t>Tekući plan</t>
  </si>
  <si>
    <t>formula</t>
  </si>
  <si>
    <t>Prihodi poslovanja</t>
  </si>
  <si>
    <t>Prihodi od prodaje nefinancijske imovine</t>
  </si>
  <si>
    <t>Ukupno prihodi</t>
  </si>
  <si>
    <t>Rashodi poslovanja</t>
  </si>
  <si>
    <t>Rashodi za nabavu nefinancijske imovine</t>
  </si>
  <si>
    <t>Ukupno rashodi i izdaci</t>
  </si>
  <si>
    <t xml:space="preserve">Razlika </t>
  </si>
  <si>
    <t>Zajam Drž.pror.-po osn.povrata poreza na doh.-8471</t>
  </si>
  <si>
    <t>Zajam Drž.pro.-po osn.odgođ.pl. poreza na doh.-8471</t>
  </si>
  <si>
    <t>Povrat zajma Drž.pr.-po osn.povrata por.na doh.-5471</t>
  </si>
  <si>
    <t>Povrat zajma Drž.pr.-po osn.odg.pl. por.na doh.-5471</t>
  </si>
  <si>
    <t>Ispravak rezultata posl.-povrat sred.Drž.proračun</t>
  </si>
  <si>
    <t>Manjak/višak prihoda  iz preth. god.</t>
  </si>
  <si>
    <t>Manjak prihoda od nefin.imov. iz pr.god.-Općina Jelsa</t>
  </si>
  <si>
    <t>Višak prihoda iz pr.god.-prorač.korisnici</t>
  </si>
  <si>
    <t>Manjak/višak prihoda za prij u sljedeće razd.</t>
  </si>
  <si>
    <t>Manjak prihoda od nefin.imovine - Općina Jelsa</t>
  </si>
  <si>
    <t>Višak prihoda poslovanja - Dječji vrtić Jelsa</t>
  </si>
  <si>
    <t>Manjak/višak prihoda posl. - Opć.knjižnica i čit.Jelsa</t>
  </si>
  <si>
    <t>Manjak/višak prihoda posl.- Muzej Općine Jelsa</t>
  </si>
  <si>
    <t>PRIHODI</t>
  </si>
  <si>
    <t>3/1</t>
  </si>
  <si>
    <t>4/3</t>
  </si>
  <si>
    <t>5/4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</si>
  <si>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</si>
  <si>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</si>
  <si>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</si>
  <si>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</si>
  <si>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</si>
  <si>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</si>
  <si>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</si>
  <si>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</si>
  <si>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</si>
  <si>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</si>
  <si>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</si>
  <si>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</si>
  <si>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</si>
  <si>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</si>
  <si>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</si>
  <si>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</si>
  <si>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</si>
  <si>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Column18</t>
  </si>
  <si>
    <t>Column19</t>
  </si>
  <si>
    <t>Column20</t>
  </si>
  <si>
    <t>Column21</t>
  </si>
  <si>
    <t>Column23</t>
  </si>
  <si>
    <t>Column232</t>
  </si>
  <si>
    <t>Column24</t>
  </si>
  <si>
    <t>Column25</t>
  </si>
  <si>
    <t>Column26</t>
  </si>
  <si>
    <t>Column27</t>
  </si>
  <si>
    <t>Column28</t>
  </si>
  <si>
    <t>Column29</t>
  </si>
  <si>
    <t>Column30</t>
  </si>
  <si>
    <t>Column31</t>
  </si>
  <si>
    <t>Column32</t>
  </si>
  <si>
    <t>Column33</t>
  </si>
  <si>
    <t>Column34</t>
  </si>
  <si>
    <t>Column35</t>
  </si>
  <si>
    <t>Column36</t>
  </si>
  <si>
    <t>Column37</t>
  </si>
  <si>
    <t>Column38</t>
  </si>
  <si>
    <t>Column39</t>
  </si>
  <si>
    <t>Column40</t>
  </si>
  <si>
    <t>Column41</t>
  </si>
  <si>
    <t>UKUPNO PRIHODI</t>
  </si>
  <si>
    <t>PRIHODI POSLOVANJA</t>
  </si>
  <si>
    <t>PRIHODI OD POREZA</t>
  </si>
  <si>
    <t>Porez i prirez na dohodak</t>
  </si>
  <si>
    <t>61-2</t>
  </si>
  <si>
    <t>Por.i pr.na dohodak od nesamost.rada</t>
  </si>
  <si>
    <t>611-2</t>
  </si>
  <si>
    <t>Por.i pr.na dohodak od samostalnih djelat.</t>
  </si>
  <si>
    <t>611-3</t>
  </si>
  <si>
    <t>Por.i pr.na dohodak od imovine i imov.prava</t>
  </si>
  <si>
    <t>611-4</t>
  </si>
  <si>
    <t>Por.i pr.na dohodak od kapitala</t>
  </si>
  <si>
    <t>611-5</t>
  </si>
  <si>
    <t>Por.i pr.na dohodak-god.prijava</t>
  </si>
  <si>
    <t>Por.i pr.na dohodak - nadzor</t>
  </si>
  <si>
    <t>POREZI NA IMOVINU</t>
  </si>
  <si>
    <t>Stalni porezi na nepokretnu imovinu</t>
  </si>
  <si>
    <t>Porez na kuće za odmor</t>
  </si>
  <si>
    <t>61-3</t>
  </si>
  <si>
    <t>Porez na korištenje javnih površina</t>
  </si>
  <si>
    <t>Povremeni porezi na imovinu</t>
  </si>
  <si>
    <t>61-1</t>
  </si>
  <si>
    <t>Porez na promet nekretnina</t>
  </si>
  <si>
    <t>POREZI NA ROBU I USLUGE</t>
  </si>
  <si>
    <t>Porez na promet</t>
  </si>
  <si>
    <t>61-4</t>
  </si>
  <si>
    <t>Porez na potrošnju</t>
  </si>
  <si>
    <t>Porez na kor.dobara ili izvođenje aktivnosti</t>
  </si>
  <si>
    <t>Porez na tvrtku odnosno naziv</t>
  </si>
  <si>
    <t>POMOĆI</t>
  </si>
  <si>
    <t>POMOĆI IZ PRORAČUNA</t>
  </si>
  <si>
    <t>Tekuće pomoći iz proračuna</t>
  </si>
  <si>
    <t>Tekuće pomoći iz državnog proračuna</t>
  </si>
  <si>
    <t>Tekuće pomoći iz županijskog proračuna</t>
  </si>
  <si>
    <t>Kapitalne pomoći iz proračuna</t>
  </si>
  <si>
    <t>63-1</t>
  </si>
  <si>
    <t>Kapitalne pomoći iz državnog proračuna</t>
  </si>
  <si>
    <t>Kapit.pom. iz drž.prorač.-porez na doh.-otoci</t>
  </si>
  <si>
    <t>63-3</t>
  </si>
  <si>
    <t>Kapitalne pomoći iz županijskog proračuna</t>
  </si>
  <si>
    <t>Kapitalne pomoći iz grad.proračuna</t>
  </si>
  <si>
    <t>Pomoći temeljem prij.EU sredstava</t>
  </si>
  <si>
    <t>Kapit.pom.temeljem prij.EU sredstava</t>
  </si>
  <si>
    <t>POMOĆI OD OST. OST.SUBJ.UNUTAR O. DRŽ.</t>
  </si>
  <si>
    <t>Tek.pomoći od ost.subj.unutar općeg prorač.</t>
  </si>
  <si>
    <t>Tek.pomoći od HZZ-a</t>
  </si>
  <si>
    <t>Kapit.pomoći od ost.subj.unutar općeg pror.</t>
  </si>
  <si>
    <t>Kapitalne pomoći - Fond za zaštitu okoliša</t>
  </si>
  <si>
    <t>Kapitalne pomoći -Lučka uprava SDŽ</t>
  </si>
  <si>
    <t>Kapitalne pomoći-Žup.uprava za ceste</t>
  </si>
  <si>
    <t>PRIHODI OD IMOVINE</t>
  </si>
  <si>
    <t>PRIHODI OD FINANCIJSKE IMOVINE</t>
  </si>
  <si>
    <t>Kamate na oroč.sred. i depozite po viđenju</t>
  </si>
  <si>
    <t>Kamate na depozite po viđenju</t>
  </si>
  <si>
    <t>Prihodi od zateznih kamata</t>
  </si>
  <si>
    <t>Prihodi od pozitivnih teč.razlika</t>
  </si>
  <si>
    <t>Prihodi od dobiti trg.dr.,banaka i ost.fin.inst.</t>
  </si>
  <si>
    <t>Prihodi od dobiti trgovačkih dr.u javnom sektoru</t>
  </si>
  <si>
    <t>PRIHODI OD NEFINANCIJSKE IMOVINE</t>
  </si>
  <si>
    <t>Naknada za koncesije</t>
  </si>
  <si>
    <t>Naknada za koncesiju na pomorskom dobru</t>
  </si>
  <si>
    <t>Naknade za ostale koncesije</t>
  </si>
  <si>
    <t>Prihodi od zakupa i iznajmljivanja imovine</t>
  </si>
  <si>
    <t>Prihodi od zakupa poljoprivred.zemljišta</t>
  </si>
  <si>
    <t>Prihodi od iznajmljivanja stamb.objekata</t>
  </si>
  <si>
    <t>Prihodi od zakupa poslovnih objekata</t>
  </si>
  <si>
    <t>Ostali prihodi od zakupa i iznajmlj.imovine</t>
  </si>
  <si>
    <t>Naknada za korištenje nefinancijske imovine</t>
  </si>
  <si>
    <t>Naknada za ekspl.miner.sirovina</t>
  </si>
  <si>
    <t>Prihodi od spom.rente</t>
  </si>
  <si>
    <t>Ost.nakn.za kor.nef.imovine-EKI</t>
  </si>
  <si>
    <t>Ostali prihodi od nefinancijske imovine</t>
  </si>
  <si>
    <t>Ost.prih.od nefin.imovine-nakn.za legalizaciju</t>
  </si>
  <si>
    <t>PRIHODI OD PRODAJE ROBA I USLUGA</t>
  </si>
  <si>
    <t>ADMINISTRATIVNE (UPRAVNE) PRISTOJBE</t>
  </si>
  <si>
    <t>Državne upravne i sudske pristojbe</t>
  </si>
  <si>
    <t>Državne upravne pristojbe</t>
  </si>
  <si>
    <t>Gradske i opć.upravne pristojbe</t>
  </si>
  <si>
    <t>Ostale pristojbe</t>
  </si>
  <si>
    <t>Prihodi od boravišne pristojbe - TZ O.Jelsa</t>
  </si>
  <si>
    <t>Prihodi od boravišne pristojbe - TZ mj.Vrboska</t>
  </si>
  <si>
    <r>
      <rPr>
        <sz val="8"/>
        <rFont val="Arial"/>
        <family val="2"/>
        <charset val="238"/>
      </rPr>
      <t>Prihodi od bor. Prist. za noćenje na pl. obj</t>
    </r>
    <r>
      <rPr>
        <b/>
        <sz val="8"/>
        <rFont val="Arial"/>
        <family val="2"/>
        <charset val="238"/>
      </rPr>
      <t>.</t>
    </r>
  </si>
  <si>
    <t>PRIHODI PO POSEBNIM PROPISIMA</t>
  </si>
  <si>
    <t>Prihodi vodoprivrede</t>
  </si>
  <si>
    <t>Vodni doprinos</t>
  </si>
  <si>
    <t>Doprinosi za šume</t>
  </si>
  <si>
    <t>Ostali nespomenuti prihodi</t>
  </si>
  <si>
    <t>KOMUNALNI DOPRINOSI I NAKNADE</t>
  </si>
  <si>
    <t>Komunalni doprinos</t>
  </si>
  <si>
    <t>Komunalna naknada</t>
  </si>
  <si>
    <t>OSTALI PRIHODI</t>
  </si>
  <si>
    <t>Prihodi od prodaje proizvoda i usluga</t>
  </si>
  <si>
    <t>DONACIJE OD PRAVNIH I FIZIČKIH OSOBA</t>
  </si>
  <si>
    <t>Tekuće donacije</t>
  </si>
  <si>
    <t>Kapitalne donacije</t>
  </si>
  <si>
    <t>KAZNE, UPRAVNE MJERE I OSTALI PRIHODI</t>
  </si>
  <si>
    <t>KAZNE I UPRAVNE MJERE</t>
  </si>
  <si>
    <t>Ostale kazne</t>
  </si>
  <si>
    <t>Ostali prihodi</t>
  </si>
  <si>
    <t>PRIHODI OD PRODAJE NEFINANC.IMOVINE</t>
  </si>
  <si>
    <t>PR.OD PRODAJE NEPROIZV.IMOVINE</t>
  </si>
  <si>
    <t>PR.OD PRODAJE MATERIJALNE IMOVINE</t>
  </si>
  <si>
    <t>Zemljište</t>
  </si>
  <si>
    <t>Prihodi od prodaje građevinskog zemljišta</t>
  </si>
  <si>
    <t>Prihodi od zamjene nekretnina-Jelkom</t>
  </si>
  <si>
    <t>Prihodi od prodaje ostalih zemljišta</t>
  </si>
  <si>
    <t>PR.OD PRODAJE PROIZVEDENE IMOVINE</t>
  </si>
  <si>
    <t>PR.OD PRODAJE GRAĐEVINSKIH OBJEKATA</t>
  </si>
  <si>
    <t>Stambeni objekti</t>
  </si>
  <si>
    <t>Pr.od prod.stanova za koje postoji stanarsko p.</t>
  </si>
  <si>
    <t>Pr.od prod.ostalih stambenih objekata</t>
  </si>
  <si>
    <t>Poslovni objekti</t>
  </si>
  <si>
    <t>Prihodi od prod.ost.građevinskih objekata</t>
  </si>
  <si>
    <t>Ostali građevinski objekti</t>
  </si>
  <si>
    <t>Ostali nesp.građevinski objekti</t>
  </si>
  <si>
    <t>RASHODI</t>
  </si>
  <si>
    <t>Kto</t>
  </si>
  <si>
    <t xml:space="preserve">Rashodi
</t>
  </si>
  <si>
    <t>Izvršeno 2022.</t>
  </si>
  <si>
    <t>Proračun 2023.</t>
  </si>
  <si>
    <t>Izmjene 2023.</t>
  </si>
  <si>
    <t xml:space="preserve">Izvršeno </t>
  </si>
  <si>
    <t>izvršeno do</t>
  </si>
  <si>
    <t>Projekcija 2024.</t>
  </si>
  <si>
    <t>Projekcija 2025.</t>
  </si>
  <si>
    <t>Ind. 4/2</t>
  </si>
  <si>
    <t>Ind. 5/4</t>
  </si>
  <si>
    <t>Ind. 6/5</t>
  </si>
  <si>
    <t>Ind. 7/6</t>
  </si>
  <si>
    <t>2023.</t>
  </si>
  <si>
    <t>UKUPNO RASHODI</t>
  </si>
  <si>
    <t>RASHODI POSLOVANJA</t>
  </si>
  <si>
    <t>RASHODI ZA ZAPOSLENE</t>
  </si>
  <si>
    <t>Plaće</t>
  </si>
  <si>
    <t>Plaće za redovan rad</t>
  </si>
  <si>
    <t>Plaće za prekovremeni rad</t>
  </si>
  <si>
    <t>Ostali rashodi za zaposlene</t>
  </si>
  <si>
    <t>Doprinosi na plaće</t>
  </si>
  <si>
    <t>Doprinosi za zdravstveno osiguranje</t>
  </si>
  <si>
    <t>Doprinosi za zapošljavanje</t>
  </si>
  <si>
    <t>MATERIJALNI RASHODI</t>
  </si>
  <si>
    <t>Naknade troškova zaposlenima</t>
  </si>
  <si>
    <t>Službena putovanja</t>
  </si>
  <si>
    <t>Nakn.za prijevoz, rad na terenu i odvojeni život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</si>
  <si>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</si>
  <si>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</si>
  <si>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</si>
  <si>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</si>
  <si>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Materijal i sirovine</t>
  </si>
  <si>
    <t>Energija</t>
  </si>
  <si>
    <t>Mat.i dijelovi za tek.i investicijsko održavanje</t>
  </si>
  <si>
    <t>Sitan inventar i auto gume</t>
  </si>
  <si>
    <t>Služb.,radna i zašt.odjeća i obuć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</si>
  <si>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</si>
  <si>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</si>
  <si>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</si>
  <si>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</si>
  <si>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</si>
  <si>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</si>
  <si>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</si>
  <si>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</si>
  <si>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</si>
  <si>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</si>
  <si>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Nakn.troškova osobama izvan rad.odnosa</t>
  </si>
  <si>
    <t>Ostali nespomenuti rashodi poslovanja</t>
  </si>
  <si>
    <t>Nak.za rad predstavničkih i izvr.tijela, povj.i sl.</t>
  </si>
  <si>
    <t>Premije osiguranja</t>
  </si>
  <si>
    <t>Reprezentacija</t>
  </si>
  <si>
    <t>Članarine</t>
  </si>
  <si>
    <t>Pristojbe i naknade</t>
  </si>
  <si>
    <t>Troškovi sudskih postupaka</t>
  </si>
  <si>
    <t>FINANCIJSKI RASHODI</t>
  </si>
  <si>
    <t>Kamate za primljene kredite i zajmove</t>
  </si>
  <si>
    <t>Kam.za primlj.kred.od kred.i fin.instit.izvan j.s.</t>
  </si>
  <si>
    <t>Ostali financijski rashodi</t>
  </si>
  <si>
    <t>Bankarske usluge i usluge platnog prometa</t>
  </si>
  <si>
    <t>Negativne tečajne razlike</t>
  </si>
  <si>
    <t>Zatezne kamate iz poslovnih odnosa</t>
  </si>
  <si>
    <t>Ostali nespomenuti financijski rashodi</t>
  </si>
  <si>
    <t>SUBVENCIJE</t>
  </si>
  <si>
    <t>Subv.trg.dr.,poljopr. i obrt.izvan jav.sekt.</t>
  </si>
  <si>
    <t>Subv.poljoprivrednicima i obrtnicima</t>
  </si>
  <si>
    <t>POMOĆI DANE U INOZ.I UNUTAR O.PRORAČ.</t>
  </si>
  <si>
    <t>Pomoći unutar općeg proračuna</t>
  </si>
  <si>
    <t>Tekuće pomoći unutar općeg proračuna</t>
  </si>
  <si>
    <t>Pomoći prorač.korisnicima dr.proračuna</t>
  </si>
  <si>
    <t>Tek. pomoći prorač.korisnicima dr.proračuna</t>
  </si>
  <si>
    <t>Kapit.pomoći prorač.korisnicima dr.proračuna</t>
  </si>
  <si>
    <t>NAKNADE GRAĐANIMA I KUĆANSTVIMA</t>
  </si>
  <si>
    <t>Ost.naknade građanima i kuć.iz proračuna</t>
  </si>
  <si>
    <t>Naknade građanima i kućanstvima u novcu</t>
  </si>
  <si>
    <t>Naknade građanima i kućanstvima u naravi</t>
  </si>
  <si>
    <t>OSTALI RASHODI</t>
  </si>
  <si>
    <t>Tekuće donacije u novcu</t>
  </si>
  <si>
    <t>Tekuće donacije u naravi</t>
  </si>
  <si>
    <t>Kapitalne donacije neprofitnim organizacijama</t>
  </si>
  <si>
    <t>Kapitalne donacije građanima i kućanstvima</t>
  </si>
  <si>
    <t>Kazne, penali i naknade štete</t>
  </si>
  <si>
    <t>Naknade štete pravnim i fizičkim osobama</t>
  </si>
  <si>
    <t>Izvanredni rashodi</t>
  </si>
  <si>
    <t>Nepredviđeni rash.do visine prorač.pričuve</t>
  </si>
  <si>
    <t>Kapitalne pomoći</t>
  </si>
  <si>
    <t>Kapit.pom.kred.i ost.fin.in.te trg.dr.u javnom sek.</t>
  </si>
  <si>
    <t>RASHODI ZA NABAVU NEFINANC. IMOVINE</t>
  </si>
  <si>
    <t>RASH.ZA NAB.NEPROIZV.DUGOTRAJ.IM.</t>
  </si>
  <si>
    <t>Materijalna imovina-prirodna bogatstva</t>
  </si>
  <si>
    <t>RASH.ZA NAB.PROIZV.DUGOTRAJ.IMOVINE</t>
  </si>
  <si>
    <t>Građevinski objekti</t>
  </si>
  <si>
    <t>Ceste, želj. i ostali prometni objekti</t>
  </si>
  <si>
    <t>Postrojenja i oprema</t>
  </si>
  <si>
    <t>Uredska oprema i namještaj</t>
  </si>
  <si>
    <t>Komunikacijska oprema</t>
  </si>
  <si>
    <t>Oprema za održ.i zaštitu</t>
  </si>
  <si>
    <t>Medicinska i laboratorijska oprema</t>
  </si>
  <si>
    <t>Uređaji, strojevi i oprema za ost.namjene</t>
  </si>
  <si>
    <t>Knjige, umjetnička djela i ost.izložb.vrijednosti</t>
  </si>
  <si>
    <t>Knjige</t>
  </si>
  <si>
    <t>Nematerijalna proizv. Imovina</t>
  </si>
  <si>
    <t>Ulaganja u računalne programe</t>
  </si>
  <si>
    <t>Umjetnička, literarna i znanstvena djela</t>
  </si>
  <si>
    <t>RASHODI ZA DOD. ULAGANJA NA NEFIN.IMOV.</t>
  </si>
  <si>
    <t>Dodatna ulag.na građevinskim objektima</t>
  </si>
  <si>
    <t>II. POSEBNI DIO</t>
  </si>
  <si>
    <t>Izmjene</t>
  </si>
  <si>
    <t xml:space="preserve">proračun </t>
  </si>
  <si>
    <t>projekcije</t>
  </si>
  <si>
    <t>Projekcija</t>
  </si>
  <si>
    <t>Ind.</t>
  </si>
  <si>
    <t>31.10.</t>
  </si>
  <si>
    <t>RAZDJEL 001</t>
  </si>
  <si>
    <t>JEDINSTVENA UPRAVA,</t>
  </si>
  <si>
    <t>PREDSTAVNIČKA I IZVRŠNA TIJELA</t>
  </si>
  <si>
    <t xml:space="preserve">GLAVA </t>
  </si>
  <si>
    <t>OPĆINSKO VIJEĆE, NAČELNIK</t>
  </si>
  <si>
    <t>00101</t>
  </si>
  <si>
    <t xml:space="preserve">I JEDINSTVENI UPRAVNI ODJEL            30419 </t>
  </si>
  <si>
    <t>G.PROGRAM A01</t>
  </si>
  <si>
    <t>Program 1001 - Izvršna uprava i administracija</t>
  </si>
  <si>
    <t>A100001</t>
  </si>
  <si>
    <t>Aktivnost: Rad općinske uprave i administracije</t>
  </si>
  <si>
    <t>PLAĆE</t>
  </si>
  <si>
    <t>001-1</t>
  </si>
  <si>
    <t>001-2</t>
  </si>
  <si>
    <t>Plaće za javne radove</t>
  </si>
  <si>
    <t>OSTALI RASHODI ZA ZAPOSLENE</t>
  </si>
  <si>
    <t>004-1</t>
  </si>
  <si>
    <t>Ost.rash.za zaposl.-javni radovi</t>
  </si>
  <si>
    <t>DOPRINOSI NA PLAĆE</t>
  </si>
  <si>
    <t>Doprinosi za zdravstveno osig.</t>
  </si>
  <si>
    <t>006-1</t>
  </si>
  <si>
    <t>Dopr.za zdr.o.-javni radovi</t>
  </si>
  <si>
    <t>007-1</t>
  </si>
  <si>
    <t>Dopr.za zapošlj.-javni radovi</t>
  </si>
  <si>
    <t>NAKNADE TROŠKOVA ZAPOSL.</t>
  </si>
  <si>
    <t>Naknade za prijevoz</t>
  </si>
  <si>
    <t>008-1</t>
  </si>
  <si>
    <t>Korištenje priv.autom.u sl.svrhe</t>
  </si>
  <si>
    <t>RASHODI ZA MATERIJAL I ENER.</t>
  </si>
  <si>
    <t>Uredski mat.i ostali mat.rashodi</t>
  </si>
  <si>
    <t>Mat. i dij.za tek.i invest.održ.</t>
  </si>
  <si>
    <t>Sitan inventar</t>
  </si>
  <si>
    <t>014-1</t>
  </si>
  <si>
    <t>Služb.,radna i zaštitna odjeća i obuća</t>
  </si>
  <si>
    <t>RASHODI ZA USLUGE</t>
  </si>
  <si>
    <t>Usluge tek.i investicij.održavanja</t>
  </si>
  <si>
    <t>021-1</t>
  </si>
  <si>
    <t>Zdravstvene i vet.usluge</t>
  </si>
  <si>
    <t>NAKN.TR.OSOBAMA IZVAN RAD.ODNOSA</t>
  </si>
  <si>
    <t>021-2</t>
  </si>
  <si>
    <t>Nakn.troškova osobama izvan radnog odnosa</t>
  </si>
  <si>
    <t>OSTALI NESP.RASHODI POSL.</t>
  </si>
  <si>
    <t>Reprezentacija-načelnik</t>
  </si>
  <si>
    <t>Reprezentacija-predsj.OV</t>
  </si>
  <si>
    <t>A100002</t>
  </si>
  <si>
    <t>Aktivnost: Opće usluge i pričuva</t>
  </si>
  <si>
    <t>125-1</t>
  </si>
  <si>
    <t>Zakupnine zemljišta</t>
  </si>
  <si>
    <t>125-2</t>
  </si>
  <si>
    <t>Najamnine poslovnih prostora</t>
  </si>
  <si>
    <t>125-3</t>
  </si>
  <si>
    <t>Intelektualne usluge-izrada projekata</t>
  </si>
  <si>
    <t>125-4</t>
  </si>
  <si>
    <t>Intel.usl.-elaborat katastra vodova EKI</t>
  </si>
  <si>
    <t>125-5</t>
  </si>
  <si>
    <t>Ostale opće usluge</t>
  </si>
  <si>
    <t>OSTALI NESPOM.RASH.POSL.</t>
  </si>
  <si>
    <t>Nakn.za rad pred.i izvrš.tijela, povjeren.i sl.</t>
  </si>
  <si>
    <t>122-1</t>
  </si>
  <si>
    <t>140-7</t>
  </si>
  <si>
    <t>Članarina LAG Škoji</t>
  </si>
  <si>
    <t>025</t>
  </si>
  <si>
    <t>025-1</t>
  </si>
  <si>
    <t>Tr.sudskih postupaka</t>
  </si>
  <si>
    <t>Rashodi za izbore</t>
  </si>
  <si>
    <t>Rashodi za ''Dan općine''</t>
  </si>
  <si>
    <t>126-8</t>
  </si>
  <si>
    <t>Rashodi za javna priznanja</t>
  </si>
  <si>
    <t>129-6</t>
  </si>
  <si>
    <t>Rashodi za darove OŠ Jelsa</t>
  </si>
  <si>
    <t>124-1</t>
  </si>
  <si>
    <t>Rashodi za prijateljske općine</t>
  </si>
  <si>
    <t>124-2</t>
  </si>
  <si>
    <t>Rashodi za skulpture</t>
  </si>
  <si>
    <t>026-1</t>
  </si>
  <si>
    <t>Rashodi za radionice</t>
  </si>
  <si>
    <t>026-2</t>
  </si>
  <si>
    <t>Rashodi za el.priključke</t>
  </si>
  <si>
    <t>026-4</t>
  </si>
  <si>
    <t>Rashodi za zaštitu životinja</t>
  </si>
  <si>
    <t>026-5</t>
  </si>
  <si>
    <t>Elektrifikacija uvala Gdinj i Zastražišće</t>
  </si>
  <si>
    <t>026-6</t>
  </si>
  <si>
    <t>Rashodi za legalizaciju infrastrukture</t>
  </si>
  <si>
    <t>Ostali nesp.rashodi poslovanja</t>
  </si>
  <si>
    <t>TEKUĆE DONACIJE</t>
  </si>
  <si>
    <t>128-5</t>
  </si>
  <si>
    <t>Tekuće donacije građanima</t>
  </si>
  <si>
    <t>KAZNE, PENALI I NAKNADE ŠTETE</t>
  </si>
  <si>
    <t>127-8</t>
  </si>
  <si>
    <t>Naknade šteta pravnim i fizičkim osobama</t>
  </si>
  <si>
    <t>IZVANREDNI RASHODI</t>
  </si>
  <si>
    <t>Nepredviđeni rash.-pror.zaliha</t>
  </si>
  <si>
    <t>K100003</t>
  </si>
  <si>
    <t>K.projekt: Opremanje i informatizacija</t>
  </si>
  <si>
    <t>RASHODI ZA NAB.NEF.IMOVINE</t>
  </si>
  <si>
    <t>PROIZV.DUGOTRAJNA IMOVINA</t>
  </si>
  <si>
    <t>POSTROJENJA I OPREMA</t>
  </si>
  <si>
    <t>030-1</t>
  </si>
  <si>
    <t>Medicinska oprema</t>
  </si>
  <si>
    <t>029-1</t>
  </si>
  <si>
    <t>Oprema za ostale namjene</t>
  </si>
  <si>
    <t>NEMATERIJALNA PR.IMOVINA</t>
  </si>
  <si>
    <t>Ulaganja u računarske programe</t>
  </si>
  <si>
    <t>K100004</t>
  </si>
  <si>
    <t>K.projekt: Kupnja zemljišta</t>
  </si>
  <si>
    <t>NEPROIZV.DUGOTRAJNA IMOVINA</t>
  </si>
  <si>
    <t>MATERIJALNA IMOVINA-PRIRODNA BOGAT.</t>
  </si>
  <si>
    <t>031-1</t>
  </si>
  <si>
    <t>Program 1002 - Izvršavanje financijskih obveza</t>
  </si>
  <si>
    <t>Aktivnost: Financijski poslovi</t>
  </si>
  <si>
    <t>KAMATE ZA PRIMLJENE KREDITE I ZAJMOVE</t>
  </si>
  <si>
    <t>128-9</t>
  </si>
  <si>
    <t>OSTALI FINANCIJSKI RASHODI</t>
  </si>
  <si>
    <t>Bankarske usluge i usl.pl.prometa</t>
  </si>
  <si>
    <t>128-1</t>
  </si>
  <si>
    <t>Zatezne kamate iz posl.odnosa</t>
  </si>
  <si>
    <t>127-7</t>
  </si>
  <si>
    <t>Rashodi za usl.porezne uprave</t>
  </si>
  <si>
    <t>128-3</t>
  </si>
  <si>
    <t>Naknada za zemljište</t>
  </si>
  <si>
    <t>128-2</t>
  </si>
  <si>
    <t>Ost.nespom.financ.rashodi</t>
  </si>
  <si>
    <t>Program 1003 - Javni red i sigurnost</t>
  </si>
  <si>
    <t>Aktivnost: Potpora održav. reda i sigurnosti</t>
  </si>
  <si>
    <t>OSTALE USLUGE</t>
  </si>
  <si>
    <t>Rashodi za regulaciju prometa</t>
  </si>
  <si>
    <t>Aktivnost: Protupožarna i civilna zaštita</t>
  </si>
  <si>
    <t>OSTALI RASHODI POSLOVANJA</t>
  </si>
  <si>
    <t>127-4</t>
  </si>
  <si>
    <t>Rash.za izr.planova i dr.struč.poslove</t>
  </si>
  <si>
    <t>128-4</t>
  </si>
  <si>
    <t>Rashodi za civilnu zaštitu</t>
  </si>
  <si>
    <t>Donacije DVD-ima - % prorač.prihoda</t>
  </si>
  <si>
    <t>158-1</t>
  </si>
  <si>
    <t>Donacije DVD-u Jelsa</t>
  </si>
  <si>
    <t>158-4</t>
  </si>
  <si>
    <t>Donacije DVD-u Jelsa-za vatr.vozilo,oprema</t>
  </si>
  <si>
    <t>158-3</t>
  </si>
  <si>
    <t>Donacije Hrv.gorskoj sl.spašavanja Split</t>
  </si>
  <si>
    <t>K.projekt: Izgradnja objekata protupož.zaštite</t>
  </si>
  <si>
    <t>RASHODI ZA NAB.NEFIN.IMOVINE</t>
  </si>
  <si>
    <t>RASH.ZA NAB.PR.DUGOTR.IMOV.</t>
  </si>
  <si>
    <t>GRAĐEVINSKI OBJEKTI</t>
  </si>
  <si>
    <t>Izgradnja objekata protupož.zaštite</t>
  </si>
  <si>
    <t>Program 1004 - Poticaj razvoju poduzetništva</t>
  </si>
  <si>
    <t>Aktivnost: Poticaji poljoprivred.,obrt. i malim poduzet.</t>
  </si>
  <si>
    <t>SUBV.TRG.DR.,POLJOPR.I OBRTN.IZVAN J.SEKT.</t>
  </si>
  <si>
    <t>SDŽ-Fond za razvoj poljoprivrede</t>
  </si>
  <si>
    <t>175-5</t>
  </si>
  <si>
    <t>Sufinanciranje manifest.''Noćnjak''</t>
  </si>
  <si>
    <t>175-4</t>
  </si>
  <si>
    <t>Ostale subvencije poljopr.,obrt.i malim poduz.</t>
  </si>
  <si>
    <t>Program 1005 - Održ.i izgr.cesta, luka i jav.pov.</t>
  </si>
  <si>
    <t>Aktivnost: Održavanje cesta i javnih površina</t>
  </si>
  <si>
    <t>RASHODI ZA MAT.I ENERGIJU</t>
  </si>
  <si>
    <t>078-0</t>
  </si>
  <si>
    <t>Mat.i dij.za održavanje</t>
  </si>
  <si>
    <t>Mat.i dij.za održ.-Jelsa</t>
  </si>
  <si>
    <t>Mat.i dij.za održ.-Vrboska</t>
  </si>
  <si>
    <t>Mat.i dij.za održ.-Zavala</t>
  </si>
  <si>
    <t>Mat.i dij.za održ.-I.Dolac</t>
  </si>
  <si>
    <t>Mat.i dij.za održ.-Svirče</t>
  </si>
  <si>
    <t>Mat.i dij.za održ.-Pitve</t>
  </si>
  <si>
    <t>Mat.i dij.za održ.-Vrisnik</t>
  </si>
  <si>
    <t>Mat.i dij.za održ.-Poljica</t>
  </si>
  <si>
    <t>Mat.i dij.za održ.-Zastražišće</t>
  </si>
  <si>
    <t>Mat.i dij.za održ.-Gdinj</t>
  </si>
  <si>
    <t>Usl.tek.i inv.održ.cesta</t>
  </si>
  <si>
    <t>098-0</t>
  </si>
  <si>
    <t>Usl.tek.i inv.održ.-Jelsa,Vrboska,Zavala, I.Dol.</t>
  </si>
  <si>
    <t>102-0</t>
  </si>
  <si>
    <t>Ost.usl.tekućeg i investicijskog održavanja</t>
  </si>
  <si>
    <t>102-2</t>
  </si>
  <si>
    <t>Usl.rekonstr.kanala oborinske odvodnje</t>
  </si>
  <si>
    <t>102-1</t>
  </si>
  <si>
    <t>Geodetske usluge</t>
  </si>
  <si>
    <t>Aktivnost: Održavanje pomorskog dobra</t>
  </si>
  <si>
    <t>098-4</t>
  </si>
  <si>
    <t>Usl.tek.i inv.održavanja plaža i luka</t>
  </si>
  <si>
    <t>096-1</t>
  </si>
  <si>
    <t xml:space="preserve">Geodetsko-katastarske usl. </t>
  </si>
  <si>
    <t>K.projekt: Izgradnja cesta i jav.površina</t>
  </si>
  <si>
    <t>KAPITALNE POMOĆI</t>
  </si>
  <si>
    <t>172-1</t>
  </si>
  <si>
    <t>'Jelkom''-za ceste</t>
  </si>
  <si>
    <t>172-4</t>
  </si>
  <si>
    <t>'Jelkom'' - izgr.trga i spom.križonoši Jelsa</t>
  </si>
  <si>
    <t>172-0</t>
  </si>
  <si>
    <t>Izgradnja javnih površina</t>
  </si>
  <si>
    <t>172-9</t>
  </si>
  <si>
    <t>Izgradnja mosta u Vrboskoj</t>
  </si>
  <si>
    <t>RASHODI ZA NAB.PROIZV.DUGOTR.IMOVINE</t>
  </si>
  <si>
    <t>186-2</t>
  </si>
  <si>
    <t>Izgradnja cesta-otkup zemljišta,projekti</t>
  </si>
  <si>
    <t>186-5</t>
  </si>
  <si>
    <t>186-3</t>
  </si>
  <si>
    <t>Izgradnja trga i spom.križonoši Jelsa</t>
  </si>
  <si>
    <t>186-4</t>
  </si>
  <si>
    <t>Izgradnja javnih površina-otkup zem.,projekti</t>
  </si>
  <si>
    <t>186-6</t>
  </si>
  <si>
    <t>Izgradnja šetnice u Jelsi Kanun-Iga</t>
  </si>
  <si>
    <t>K.projekt: Izgradnja luka,sidrišta</t>
  </si>
  <si>
    <t>172-3</t>
  </si>
  <si>
    <t>Izgradnja luka,  sidrišta</t>
  </si>
  <si>
    <t>Izgradnja luka-projektna dok.</t>
  </si>
  <si>
    <t>Program 1006 - Promicanje i razvoj turizma</t>
  </si>
  <si>
    <t>Aktivnost: Promicanje turizma</t>
  </si>
  <si>
    <t>120-5</t>
  </si>
  <si>
    <t>Ostali izdaci za promicanje turizma</t>
  </si>
  <si>
    <t>K100002</t>
  </si>
  <si>
    <t>K. Projekt: Program ''Etno-eko''</t>
  </si>
  <si>
    <t>KAPITALNE DONACIJE</t>
  </si>
  <si>
    <t>120-8</t>
  </si>
  <si>
    <t>Udruga ''Humac''-za obnovu sela ''Humac''</t>
  </si>
  <si>
    <t xml:space="preserve">Program 1007 - Zaštita okoliša </t>
  </si>
  <si>
    <t>Aktivnost: Čišćenje, deratizacija i dezinsekcija</t>
  </si>
  <si>
    <t>Deratizacija i dezinsekcija</t>
  </si>
  <si>
    <t>112-1</t>
  </si>
  <si>
    <t>Čišć.javnih površina-Jelsa i Vrboska</t>
  </si>
  <si>
    <t>113-1</t>
  </si>
  <si>
    <t>Ostale komunalne usluge</t>
  </si>
  <si>
    <t>113-5</t>
  </si>
  <si>
    <t>Čišćenje plaža</t>
  </si>
  <si>
    <t>113-3</t>
  </si>
  <si>
    <t>Veterinarske usluge</t>
  </si>
  <si>
    <t>113-4</t>
  </si>
  <si>
    <t>Izrada plana gospodarenja otpadom</t>
  </si>
  <si>
    <t>K.projekt: Izgr.objekata i kupnja opreme za zaštitu okoliša</t>
  </si>
  <si>
    <t>'Jelkom''-za opremu</t>
  </si>
  <si>
    <t>169-1</t>
  </si>
  <si>
    <t>'Jelkom''-za reciklažno dvorište</t>
  </si>
  <si>
    <t>179-2</t>
  </si>
  <si>
    <t>Jelkom''-za san.deponija</t>
  </si>
  <si>
    <t>171-1</t>
  </si>
  <si>
    <t>Za kanalizacijski sustav-oborinska odvodnja</t>
  </si>
  <si>
    <t>RASHODI ZA NAB. PR.DUG.IMOVINE</t>
  </si>
  <si>
    <t>179-8</t>
  </si>
  <si>
    <t>Deponij Prapatna</t>
  </si>
  <si>
    <t>179-9</t>
  </si>
  <si>
    <t>Reciklažno dvorište</t>
  </si>
  <si>
    <t>179-7</t>
  </si>
  <si>
    <t>Ostala oprema</t>
  </si>
  <si>
    <t>K.projekt: Zaštita bioraznolikosti i krajolika</t>
  </si>
  <si>
    <t>NEMATERIJALNA PROIZVEDENA IMOVINA</t>
  </si>
  <si>
    <t>179-0</t>
  </si>
  <si>
    <t>Staza bioraznolikosti Jelsa</t>
  </si>
  <si>
    <t>Program 1008 - Unapređ.stanovanja i zajednice</t>
  </si>
  <si>
    <t>Aktivnost: Izrada planova</t>
  </si>
  <si>
    <t>116-2</t>
  </si>
  <si>
    <t>Geodetsko-katastarske usluge</t>
  </si>
  <si>
    <t>RASHODI ZA PR.DUG.IMOVINU</t>
  </si>
  <si>
    <t>NEMAT.PROIZVEDENA IMOVINA</t>
  </si>
  <si>
    <t>Prostorni planovi i studije</t>
  </si>
  <si>
    <t>K.projekt: Opskrba vodom - razvoj mreže</t>
  </si>
  <si>
    <t>'Hv.vodovod''-sufinanc.</t>
  </si>
  <si>
    <t>A100003</t>
  </si>
  <si>
    <t>Aktivnost: Održavanje javne rasvjete</t>
  </si>
  <si>
    <t>RASHODI ZA MAT. I ENERGIJU</t>
  </si>
  <si>
    <t>Usluge tek.i inv.održ.jav.rasvjete</t>
  </si>
  <si>
    <t>K.projekt: Postavljanje javne rasvjete</t>
  </si>
  <si>
    <t>'Jelkom''-za javnu rasvjetu</t>
  </si>
  <si>
    <t>K100010</t>
  </si>
  <si>
    <t>K.projekt: Potic.korištenja obnovlj.izvora energije u kućan.</t>
  </si>
  <si>
    <t>199-1</t>
  </si>
  <si>
    <t>Kapit.donacije građ.i kućan.</t>
  </si>
  <si>
    <t>K100011</t>
  </si>
  <si>
    <t>K.projekt: Izgradnja objekata i postroj.obn.izvora energije</t>
  </si>
  <si>
    <t>RASHODI ZA NAB.NEFINANC.IMOVINE</t>
  </si>
  <si>
    <t>RASHODI ZA NAB.PROIZVED.DUGOTR.IM.</t>
  </si>
  <si>
    <t>199-2</t>
  </si>
  <si>
    <t>Sunčana elektrana ''Sportska dv.Pelinje''</t>
  </si>
  <si>
    <t>A100005</t>
  </si>
  <si>
    <t>Aktivnost: Održavanje parkova i zelenih površina</t>
  </si>
  <si>
    <t>097-1</t>
  </si>
  <si>
    <t>Usl.tek.i inv.održ.parkova</t>
  </si>
  <si>
    <t>A100006</t>
  </si>
  <si>
    <t>Aktivnost: Opskrba vodom za javne potrebe</t>
  </si>
  <si>
    <t>Opskrba vodom</t>
  </si>
  <si>
    <t>A100007</t>
  </si>
  <si>
    <t xml:space="preserve">Aktivnost: Održavanje zgrada </t>
  </si>
  <si>
    <t>Mat.i dij.za tek.i inv.održ.zgrada</t>
  </si>
  <si>
    <t>Usl.tek.i inv.održ.zgrada</t>
  </si>
  <si>
    <t>Zgrada društv.doma Gdinj</t>
  </si>
  <si>
    <t>Zgrada Pitve</t>
  </si>
  <si>
    <t>Vrboska-javni WC i tuševi</t>
  </si>
  <si>
    <t>Ostale općinske zgrade</t>
  </si>
  <si>
    <t>K100015</t>
  </si>
  <si>
    <t>K.projekt: Otkup zgrade HZJZ u Jelsi</t>
  </si>
  <si>
    <t>RASH.ZA NAB.NEFIN.IMOVINE</t>
  </si>
  <si>
    <t>RASH.ZA NAB.PR.DUG.IMOVINE</t>
  </si>
  <si>
    <t>090-32</t>
  </si>
  <si>
    <t>Otkup zgrade HZJZ u Jelsi</t>
  </si>
  <si>
    <t>K100009</t>
  </si>
  <si>
    <t>K.projekt: Uređenje groblja</t>
  </si>
  <si>
    <t>090-8</t>
  </si>
  <si>
    <t>Izgradnja groblja</t>
  </si>
  <si>
    <t>090-9</t>
  </si>
  <si>
    <t>Izgradnja groblja-zemljište,projekti</t>
  </si>
  <si>
    <t>K100012</t>
  </si>
  <si>
    <t>K.projekt: Obnova zgrade ''Društveni dom''</t>
  </si>
  <si>
    <t>091-1</t>
  </si>
  <si>
    <t>Obnova zgrade ''ex.Mašinoprojekt''</t>
  </si>
  <si>
    <t>091-3</t>
  </si>
  <si>
    <t>Obnova zgrade ''ex.stara ambulanta''</t>
  </si>
  <si>
    <t>K100013</t>
  </si>
  <si>
    <t>K.projekt: Adriatic ribarski muzej</t>
  </si>
  <si>
    <t>091-2</t>
  </si>
  <si>
    <t>Adriatic ribarski muzej</t>
  </si>
  <si>
    <t>Program 1009 - Unapređenje zdravstva</t>
  </si>
  <si>
    <t>Aktivnost: Izdaci za zdravstvenu djelatnost</t>
  </si>
  <si>
    <t>OST.NESPOM.RASHODI POSLOVANJA</t>
  </si>
  <si>
    <t>135-4</t>
  </si>
  <si>
    <t>Ostali izdaci za zdravstvenu djelatnost</t>
  </si>
  <si>
    <t>Aktivnost: Donacije za zdravstvenu djelatnost</t>
  </si>
  <si>
    <t>Suf.Doma zdravlja SDŽ</t>
  </si>
  <si>
    <t>135-5</t>
  </si>
  <si>
    <t>Suf.nabavke zdr.opreme</t>
  </si>
  <si>
    <t>Klub žena ''Vita pharos'' Jelsa</t>
  </si>
  <si>
    <t>139-1</t>
  </si>
  <si>
    <t>Ostale donacije za zdravstvenu djelatnost</t>
  </si>
  <si>
    <t>139-2</t>
  </si>
  <si>
    <t>Udruga dijalizir.i transplatir.bol.SDŽ</t>
  </si>
  <si>
    <t>Program 1010 - Poticaj unapređ. i razvoju sporta</t>
  </si>
  <si>
    <t>Aktivnost: Održavanje sportskih objekata</t>
  </si>
  <si>
    <t>098-3</t>
  </si>
  <si>
    <t>Usl.tek.i inv.održavanja igrališta i dvorane</t>
  </si>
  <si>
    <t>Aktivnost: Tekuće donacije sportskim udrugama</t>
  </si>
  <si>
    <t>Tekuće donacije sportskim društ.</t>
  </si>
  <si>
    <t>Šahovski klub Jelsa</t>
  </si>
  <si>
    <t>Veslački klub Jelsa</t>
  </si>
  <si>
    <t>Rukometni klub Jelsa</t>
  </si>
  <si>
    <t>NK Jelsa - redovna djelatnost</t>
  </si>
  <si>
    <t>NK Vrisnik</t>
  </si>
  <si>
    <t>NK ''Sošk'' Svirče</t>
  </si>
  <si>
    <t>NK ''Vatra'' Poljica</t>
  </si>
  <si>
    <t>146-0</t>
  </si>
  <si>
    <t>Ostale sportske aktivnosti</t>
  </si>
  <si>
    <t>K.projekt: Izgradnja sportskih objekata</t>
  </si>
  <si>
    <t>Izgr.sportskih objekata</t>
  </si>
  <si>
    <t>Jelsa-Pelinje</t>
  </si>
  <si>
    <t>Igralište Vrisnik</t>
  </si>
  <si>
    <t>Program 1011 -Donac.i program.djelat.u kulturi</t>
  </si>
  <si>
    <t>Aktivnost: Muzejska djelatnost</t>
  </si>
  <si>
    <t>Najamnina za Ribarski muzej Vrb.</t>
  </si>
  <si>
    <t>Aktivnost: Ostale kulturne aktivnosti</t>
  </si>
  <si>
    <t>OSTALI NESP.RASHODI POSLOVANJA</t>
  </si>
  <si>
    <t>126-6</t>
  </si>
  <si>
    <t>Sufin.za izd.knjiga</t>
  </si>
  <si>
    <t>127-3</t>
  </si>
  <si>
    <t>Rashodi za kulturno-zab.manifestacije TZ</t>
  </si>
  <si>
    <t>127-0</t>
  </si>
  <si>
    <t>Rash.za kult.-zab.manifest.</t>
  </si>
  <si>
    <t>114-3</t>
  </si>
  <si>
    <t>Ostale kulturne aktivnosti</t>
  </si>
  <si>
    <t>POMOĆI UNUTAR OPĆEG PRORAČUNA</t>
  </si>
  <si>
    <t>POMOĆI PRORAČ.KORISNICIMA DR.PRORAČ.</t>
  </si>
  <si>
    <t>114-4</t>
  </si>
  <si>
    <t>Grad Stari Grad-sufinanc. ''Agencije Polje''</t>
  </si>
  <si>
    <t>114-5</t>
  </si>
  <si>
    <t>Grad Stari Grad-integr.proj.starogr.polja</t>
  </si>
  <si>
    <t>Aktivnost: Održavanje spomenika kulture</t>
  </si>
  <si>
    <t>Usl.održ.crkve tvrđave Vrboska</t>
  </si>
  <si>
    <t>109-2</t>
  </si>
  <si>
    <t>Usl.održ.kulturnih dobara</t>
  </si>
  <si>
    <t>109-1</t>
  </si>
  <si>
    <t>Muzej križonoše Jelsa</t>
  </si>
  <si>
    <t>A100004</t>
  </si>
  <si>
    <t>Aktivnost: Donacije ustanovama i udrug. u kulturi</t>
  </si>
  <si>
    <t>Matica Hrvatska o.Jelsa</t>
  </si>
  <si>
    <t>DPKB Vrboska</t>
  </si>
  <si>
    <t>162-1</t>
  </si>
  <si>
    <t xml:space="preserve">Udruga ''Humac'' </t>
  </si>
  <si>
    <t>Udruga Trim-Vrboska</t>
  </si>
  <si>
    <t>162-3</t>
  </si>
  <si>
    <t>Ostale donacije za kulturu</t>
  </si>
  <si>
    <t>162-4</t>
  </si>
  <si>
    <t>KUD Jelsa</t>
  </si>
  <si>
    <t>162-5</t>
  </si>
  <si>
    <t>Udruga Lantina Vrboska</t>
  </si>
  <si>
    <t>162-6</t>
  </si>
  <si>
    <t>Dalmatinska klapa Kaštilac Vrboska</t>
  </si>
  <si>
    <t>162-7</t>
  </si>
  <si>
    <t>Pjevačko društvo Jelšonski kantaduri</t>
  </si>
  <si>
    <t>162-9</t>
  </si>
  <si>
    <t>Udruga ''Karnevol Jelsa'' -Jelsa</t>
  </si>
  <si>
    <t>162-0</t>
  </si>
  <si>
    <t>Klapa Veli Kamik Svirče</t>
  </si>
  <si>
    <t>161-2</t>
  </si>
  <si>
    <t>Udruga Održivi otok, Jelsa</t>
  </si>
  <si>
    <t>160-0</t>
  </si>
  <si>
    <t>ostale</t>
  </si>
  <si>
    <t>Program 1012 -Religijske i druge službe zajednice</t>
  </si>
  <si>
    <t>Aktivnost: Potpore vjerskim zajednicama</t>
  </si>
  <si>
    <t>Tekuće donacije vjerskim zaj.</t>
  </si>
  <si>
    <t>Aktivnost: Potpore političkim strankama</t>
  </si>
  <si>
    <t>141-1</t>
  </si>
  <si>
    <t>Političkim str.za zastup.u vijeću</t>
  </si>
  <si>
    <t>Aktivnost: Potpore ostalim udrugama i org.</t>
  </si>
  <si>
    <t>UHBDDR - Jelsa</t>
  </si>
  <si>
    <t>140-3</t>
  </si>
  <si>
    <t>Udruga maslinara</t>
  </si>
  <si>
    <t>140-5</t>
  </si>
  <si>
    <t>Udruga Hvarski vinari</t>
  </si>
  <si>
    <t>140-0</t>
  </si>
  <si>
    <t>Udruga Prijatelji otoka Šćedro</t>
  </si>
  <si>
    <t>142-1</t>
  </si>
  <si>
    <t>Udruga obrtnika otoka Hvara</t>
  </si>
  <si>
    <t>142-2</t>
  </si>
  <si>
    <t>Udruga veterana Mj.odred ''Zvir''-otok Hvar</t>
  </si>
  <si>
    <t>142-3</t>
  </si>
  <si>
    <t>Ekološka udruga za održivi razvoj Jelsa</t>
  </si>
  <si>
    <t>142-0</t>
  </si>
  <si>
    <t>Ostale potpore udrugama i org.</t>
  </si>
  <si>
    <t>Program 1013 - Unapređenje školstava</t>
  </si>
  <si>
    <t>Aktivnost: Donacije školama</t>
  </si>
  <si>
    <t>POMOĆI DANE U INOZ.I UNUT. O.PRORAČ.</t>
  </si>
  <si>
    <t>POMOĆI PRORAČ.KORISN.DR.PRORAČUNA</t>
  </si>
  <si>
    <t>Tek.pomoći prorač.korisnicima dr.proračuna</t>
  </si>
  <si>
    <t>Osnovna škola Jelsa</t>
  </si>
  <si>
    <t>Srednja škola o.Jelsa</t>
  </si>
  <si>
    <t>164-3</t>
  </si>
  <si>
    <t>Ostale pomoći</t>
  </si>
  <si>
    <t>K.projekt: Sufin.gradnje i opremanja škola</t>
  </si>
  <si>
    <t>164-2</t>
  </si>
  <si>
    <t>Kapitalne pomoći školi</t>
  </si>
  <si>
    <t>Program 1014 - Socijalna skrb i socijalne pomoći</t>
  </si>
  <si>
    <t>Aktivnost: Pomoći građanima i kućanstvima</t>
  </si>
  <si>
    <t>NAKNADE GRAĐANIMA I KUĆ.</t>
  </si>
  <si>
    <t>NAKN.GRAĐ.I KUĆ.IZ PRORAČ.</t>
  </si>
  <si>
    <t>Naknade građ.i kuć.u novcu</t>
  </si>
  <si>
    <t>Pomoć obiteljima i kućanstvima</t>
  </si>
  <si>
    <t>Pomoć invalidima i hendik.osob.</t>
  </si>
  <si>
    <t>Stipendije učenicima i studentima</t>
  </si>
  <si>
    <t>132-1</t>
  </si>
  <si>
    <t>Suf.radnih bilj. za OŠ</t>
  </si>
  <si>
    <t>Naknade građ.i kuć.u naravi</t>
  </si>
  <si>
    <t>Stanovanje</t>
  </si>
  <si>
    <t>134-1</t>
  </si>
  <si>
    <t>Pomoć umirovljenicima</t>
  </si>
  <si>
    <t>Aktivnost: Donacije org.i udrugama socijalne skrbi</t>
  </si>
  <si>
    <t>Crveni križ Hvar</t>
  </si>
  <si>
    <t>165-1</t>
  </si>
  <si>
    <t>Udruga slijepih SDŽ</t>
  </si>
  <si>
    <t>165-2</t>
  </si>
  <si>
    <t>Udruga gluhih SDŽ</t>
  </si>
  <si>
    <t>165-3</t>
  </si>
  <si>
    <t>HVIDR-a o.Hvar-Stari Grad</t>
  </si>
  <si>
    <t>165-4</t>
  </si>
  <si>
    <t>U.osoba s invalid.o.Hvara</t>
  </si>
  <si>
    <t>165-8</t>
  </si>
  <si>
    <t>Udruga ''Perle'' - Stari Grad</t>
  </si>
  <si>
    <t>135-0</t>
  </si>
  <si>
    <t>Ostale donacije za socijalnu skrb</t>
  </si>
  <si>
    <t>165-9</t>
  </si>
  <si>
    <t>K.projekt: Izgradnja doma za starije i nemoćne</t>
  </si>
  <si>
    <t>RASH.ZA NAB.NEF.IMOVINE</t>
  </si>
  <si>
    <t>189-2</t>
  </si>
  <si>
    <t>Izgr.doma za starije i nemoćne</t>
  </si>
  <si>
    <t>189-3</t>
  </si>
  <si>
    <t>Izgr.dnevnog boravka za starije i nemoćne</t>
  </si>
  <si>
    <t>Program 1016 - Unapređenje predškolskog odgoja</t>
  </si>
  <si>
    <t>K100001</t>
  </si>
  <si>
    <t>K.projekt: Izgradnja dječjeg vrtića Jelsa</t>
  </si>
  <si>
    <t>RASHODI ZA NAB.PROIZV.DUGOTR.IMOV.</t>
  </si>
  <si>
    <t>200</t>
  </si>
  <si>
    <t>Izgradnja dječjeg vrtića u Jelsi</t>
  </si>
  <si>
    <t>200-1</t>
  </si>
  <si>
    <t>Izgradnja dječjeg vrtića u Vrboskoj</t>
  </si>
  <si>
    <t>DJEČJI VRTIĆ JELSA</t>
  </si>
  <si>
    <t>00102</t>
  </si>
  <si>
    <t>G.PROGRAM B01</t>
  </si>
  <si>
    <t>Program 1001 - Predškolski odgoj</t>
  </si>
  <si>
    <t>Aktivnost: Odgojno i administrat.tehničko osoblje</t>
  </si>
  <si>
    <t>Doprinos za zdravstveno osig.</t>
  </si>
  <si>
    <t>Doprinos za zapošljavanje os.s inval.</t>
  </si>
  <si>
    <t>NAKNADE TROŠK.ZAPOSLENIMA</t>
  </si>
  <si>
    <t>037-1</t>
  </si>
  <si>
    <t>Aktivnost: Ost.materijalni i fin.rashodi</t>
  </si>
  <si>
    <t>RASHODI ZA MATERIJAL I ENERGIJU</t>
  </si>
  <si>
    <t>Uredski mat.i ost.materijalni rashodi</t>
  </si>
  <si>
    <t>Mat. i djelovi za tek. i inv. održavanje</t>
  </si>
  <si>
    <t>038-2</t>
  </si>
  <si>
    <t>Mat.za djecu s posebnim potrebama</t>
  </si>
  <si>
    <t>038-1</t>
  </si>
  <si>
    <t>Usl.telefona, pošte i prijevoza</t>
  </si>
  <si>
    <t>Usl.tek.i invest.održavanja</t>
  </si>
  <si>
    <t>Usl.tek.i invest.održavanja-za jaslice</t>
  </si>
  <si>
    <t>Usl.promidžbe i informiranja</t>
  </si>
  <si>
    <t>039-1</t>
  </si>
  <si>
    <t>Zdravstvene usluge</t>
  </si>
  <si>
    <t>Naknade tr.osobama izvan rad.odnosa</t>
  </si>
  <si>
    <t>OST. NESPOMENUTI RASHODI POSLOVANJA</t>
  </si>
  <si>
    <t>Ost.nespomenuti rashodi poslovanja</t>
  </si>
  <si>
    <t>Bankarske usluge i usl.platnog prometa</t>
  </si>
  <si>
    <t>Aktivnost: Darovi djeci</t>
  </si>
  <si>
    <t>Tekuće donacije za dječje darove</t>
  </si>
  <si>
    <t>K.projekt: Nabavka opreme</t>
  </si>
  <si>
    <t>043-1</t>
  </si>
  <si>
    <t>GLAVA</t>
  </si>
  <si>
    <t>OPĆINSKA KNJIŽNICA I ČITAONICA JELSA</t>
  </si>
  <si>
    <t>00103</t>
  </si>
  <si>
    <t>30427</t>
  </si>
  <si>
    <t>G.PROGRAM C01</t>
  </si>
  <si>
    <t>Program 1001 - Knjižnička djelatnost</t>
  </si>
  <si>
    <t>Aktivnost: Izvršna tijela i administracija</t>
  </si>
  <si>
    <t>Doprinos za zapošljavanje</t>
  </si>
  <si>
    <t>NAKNADA TROŠKOVA ZAPOSL.</t>
  </si>
  <si>
    <t>Uredski mat. i ost.mat.izdaci</t>
  </si>
  <si>
    <t>053-1</t>
  </si>
  <si>
    <t>Mat.i dijelovi za tek.i invest.održavanje</t>
  </si>
  <si>
    <t>054-1</t>
  </si>
  <si>
    <t>Usluge telefona, pošte</t>
  </si>
  <si>
    <t>Usl.tekućeg održavanja opreme</t>
  </si>
  <si>
    <t>058-1</t>
  </si>
  <si>
    <t>062-1</t>
  </si>
  <si>
    <t>Ostale nespomenute usluge</t>
  </si>
  <si>
    <t>OSTALI NESPOMENUTI RASH. POSLOVANJA</t>
  </si>
  <si>
    <t>064-2</t>
  </si>
  <si>
    <t>Knjižnični programi</t>
  </si>
  <si>
    <t>Usluge platnog prometa</t>
  </si>
  <si>
    <t>K.projekt: Nabava i izgradnja objekata i opreme</t>
  </si>
  <si>
    <t>RASH.ZA NAB.PROIZV.DUG.IM.</t>
  </si>
  <si>
    <t>067</t>
  </si>
  <si>
    <t>Oprema za održavanje i zaštitu</t>
  </si>
  <si>
    <t>Uređaji, strojevi i oprema za ostale namjene</t>
  </si>
  <si>
    <t>KNJIGE, UMJ.DJ.I OST.VRIJ.</t>
  </si>
  <si>
    <t>069</t>
  </si>
  <si>
    <t>Knjige u knjižnicama</t>
  </si>
  <si>
    <t>RASH.ZA DOD.ULAG.NA NEF.IMOVINI</t>
  </si>
  <si>
    <t>DOD.ULAGANJA NA GRAĐ.OBJEKTIMA</t>
  </si>
  <si>
    <t>066</t>
  </si>
  <si>
    <t>Izgradnja knjižnice</t>
  </si>
  <si>
    <t>MUZEJ OPĆINE JELSA</t>
  </si>
  <si>
    <t>00104</t>
  </si>
  <si>
    <t>47220</t>
  </si>
  <si>
    <t>G.PROGRAM D01</t>
  </si>
  <si>
    <t>Program 1001 - Muzejska djelatnost</t>
  </si>
  <si>
    <t>214-1</t>
  </si>
  <si>
    <t>214-3</t>
  </si>
  <si>
    <t>214-2</t>
  </si>
  <si>
    <t>Mat. za tekuće održavanje</t>
  </si>
  <si>
    <t>219-1</t>
  </si>
  <si>
    <t>229-1</t>
  </si>
  <si>
    <t xml:space="preserve">Premije osiguranja </t>
  </si>
  <si>
    <t>229-2</t>
  </si>
  <si>
    <t>Aktivnost: Održavanje objekata</t>
  </si>
  <si>
    <t>Održavanje objekata</t>
  </si>
  <si>
    <t>Sanacija kuće Dobrović</t>
  </si>
  <si>
    <t>Grad,Galešnik</t>
  </si>
  <si>
    <t>Gradina</t>
  </si>
  <si>
    <t>Aktivnost: Održavanje pokretnih kulturnih dobara</t>
  </si>
  <si>
    <t>Zbirka Juraj Dobrović</t>
  </si>
  <si>
    <t>Zbirka Marina Franičevića u Vrisniku</t>
  </si>
  <si>
    <t>251-1</t>
  </si>
  <si>
    <t>Zaštita i restauracija muzejske građe</t>
  </si>
  <si>
    <t>Aktivnost: Izložbe</t>
  </si>
  <si>
    <t>252-1</t>
  </si>
  <si>
    <t>252-2</t>
  </si>
  <si>
    <t>Ost.nespomen.rashodi</t>
  </si>
  <si>
    <t>K100005</t>
  </si>
  <si>
    <t>K.projekt: Nabava opreme</t>
  </si>
  <si>
    <t>235-1</t>
  </si>
  <si>
    <t>Nab. tradicijskog broda</t>
  </si>
  <si>
    <t>NEMAT.PROIZV.IMOVINA</t>
  </si>
  <si>
    <t>Ulaganja u račun.programe</t>
  </si>
  <si>
    <t>K100006</t>
  </si>
  <si>
    <t>K.projekt: Sanacija vinogradarske zbirke Pitve</t>
  </si>
  <si>
    <t>RASH.ZA DOD.ULAG.NA NEFIN.IMOVINI</t>
  </si>
  <si>
    <t>DODATNA ULAG.NA GRAĐEV.OBJEKTIMA</t>
  </si>
  <si>
    <t>Sanacija vinogradarske zbirke Pitve</t>
  </si>
  <si>
    <t>Ribarski muzej- interijer</t>
  </si>
  <si>
    <t>Kuća Dobrović- interijer</t>
  </si>
  <si>
    <t>Funkcijska klasifikacija</t>
  </si>
  <si>
    <t>01-Opće javne usluge</t>
  </si>
  <si>
    <t>02-Obrana</t>
  </si>
  <si>
    <t>03-Javni red i sigurnost</t>
  </si>
  <si>
    <t>04-Ekonomski poslovi</t>
  </si>
  <si>
    <t>05-Zaštita okoliša</t>
  </si>
  <si>
    <t>06-Usluge unapr.stanovanja i zajednice</t>
  </si>
  <si>
    <t>REPUBLIKA HRVATSKA</t>
  </si>
  <si>
    <t>07-Zdravstvo</t>
  </si>
  <si>
    <t>SPLITSKO-DALMATINSKA ŽUPANIJA</t>
  </si>
  <si>
    <t>08-Rekreacija, kultura i religija</t>
  </si>
  <si>
    <t>09-Obrazovanje</t>
  </si>
  <si>
    <t>10-Socijalna zaštita</t>
  </si>
  <si>
    <t xml:space="preserve">                                                                           </t>
  </si>
  <si>
    <t xml:space="preserve">       </t>
  </si>
  <si>
    <t>OPĆINA JELSA</t>
  </si>
  <si>
    <t>Općinsko vijeće</t>
  </si>
  <si>
    <t xml:space="preserve">    PREDSJEDNIK</t>
  </si>
  <si>
    <t>OPĆINSKOG VIJEĆA</t>
  </si>
  <si>
    <t>Jure Gurdulić dipl.oec.</t>
  </si>
  <si>
    <t>KLASA:400-06/25-01/1</t>
  </si>
  <si>
    <t>URBROJ:2181-26-25-3</t>
  </si>
  <si>
    <t xml:space="preserve">PREDSJEDNIK </t>
  </si>
  <si>
    <t>Jure Gurdulić, dipl.oec.</t>
  </si>
  <si>
    <t xml:space="preserve">Jelsa, 28. srpnja 2025.G. </t>
  </si>
</sst>
</file>

<file path=xl/styles.xml><?xml version="1.0" encoding="utf-8"?>
<styleSheet xmlns="http://schemas.openxmlformats.org/spreadsheetml/2006/main">
  <numFmts count="2">
    <numFmt numFmtId="164" formatCode="#,##0.0000"/>
    <numFmt numFmtId="165" formatCode="[&lt;=999]0000;s\t\a\nd\a\rd"/>
  </numFmts>
  <fonts count="35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 Narrow"/>
      <family val="2"/>
      <charset val="238"/>
    </font>
    <font>
      <sz val="8"/>
      <name val="Arial Narrow"/>
      <family val="2"/>
      <charset val="238"/>
    </font>
    <font>
      <b/>
      <sz val="8"/>
      <name val="Arial Narrow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 Narrow"/>
      <family val="2"/>
      <charset val="238"/>
    </font>
    <font>
      <sz val="8"/>
      <name val="Arial"/>
      <family val="2"/>
      <charset val="238"/>
    </font>
    <font>
      <sz val="6"/>
      <name val="Arial"/>
      <family val="2"/>
      <charset val="238"/>
    </font>
    <font>
      <sz val="6"/>
      <name val="Arial Narrow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Narrow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 Narrow"/>
      <family val="2"/>
      <charset val="238"/>
    </font>
    <font>
      <b/>
      <sz val="8"/>
      <color indexed="8"/>
      <name val="Arial"/>
      <family val="2"/>
      <charset val="238"/>
    </font>
    <font>
      <b/>
      <sz val="6"/>
      <name val="Arial"/>
      <family val="2"/>
      <charset val="238"/>
    </font>
    <font>
      <b/>
      <sz val="6"/>
      <name val="Arial Narrow"/>
      <family val="2"/>
      <charset val="238"/>
    </font>
    <font>
      <b/>
      <sz val="6"/>
      <name val="Arial Narrow"/>
      <family val="2"/>
      <charset val="238"/>
    </font>
    <font>
      <b/>
      <sz val="8"/>
      <color indexed="8"/>
      <name val="Arial"/>
      <family val="2"/>
      <charset val="238"/>
    </font>
    <font>
      <sz val="11"/>
      <name val="Palatino Linotype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0"/>
      <name val="Arial Narrow"/>
      <family val="2"/>
      <charset val="238"/>
    </font>
    <font>
      <sz val="9"/>
      <name val="Tahoma"/>
      <family val="2"/>
      <charset val="238"/>
    </font>
    <font>
      <b/>
      <sz val="9"/>
      <name val="Tahoma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2" fillId="0" borderId="0"/>
  </cellStyleXfs>
  <cellXfs count="660">
    <xf numFmtId="0" fontId="0" fillId="0" borderId="0" xfId="0"/>
    <xf numFmtId="49" fontId="2" fillId="0" borderId="1" xfId="0" applyNumberFormat="1" applyFont="1" applyBorder="1" applyAlignment="1">
      <alignment horizontal="left"/>
    </xf>
    <xf numFmtId="0" fontId="5" fillId="0" borderId="1" xfId="0" applyFont="1" applyBorder="1"/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0" borderId="1" xfId="0" applyFont="1" applyBorder="1"/>
    <xf numFmtId="0" fontId="4" fillId="4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2" fillId="0" borderId="3" xfId="0" applyFont="1" applyBorder="1" applyAlignment="1">
      <alignment horizontal="left"/>
    </xf>
    <xf numFmtId="49" fontId="2" fillId="0" borderId="2" xfId="0" applyNumberFormat="1" applyFont="1" applyBorder="1" applyAlignment="1">
      <alignment horizontal="left"/>
    </xf>
    <xf numFmtId="49" fontId="7" fillId="5" borderId="4" xfId="0" applyNumberFormat="1" applyFont="1" applyFill="1" applyBorder="1"/>
    <xf numFmtId="0" fontId="6" fillId="0" borderId="1" xfId="0" applyFont="1" applyBorder="1"/>
    <xf numFmtId="0" fontId="6" fillId="3" borderId="1" xfId="0" applyFont="1" applyFill="1" applyBorder="1"/>
    <xf numFmtId="49" fontId="4" fillId="5" borderId="4" xfId="0" applyNumberFormat="1" applyFont="1" applyFill="1" applyBorder="1"/>
    <xf numFmtId="49" fontId="2" fillId="0" borderId="1" xfId="0" applyNumberFormat="1" applyFont="1" applyBorder="1"/>
    <xf numFmtId="49" fontId="4" fillId="2" borderId="1" xfId="0" applyNumberFormat="1" applyFont="1" applyFill="1" applyBorder="1"/>
    <xf numFmtId="1" fontId="2" fillId="0" borderId="1" xfId="0" applyNumberFormat="1" applyFont="1" applyBorder="1" applyAlignment="1">
      <alignment horizontal="left"/>
    </xf>
    <xf numFmtId="1" fontId="5" fillId="0" borderId="1" xfId="0" applyNumberFormat="1" applyFont="1" applyBorder="1" applyAlignment="1">
      <alignment horizontal="left"/>
    </xf>
    <xf numFmtId="0" fontId="1" fillId="0" borderId="0" xfId="0" applyFont="1"/>
    <xf numFmtId="3" fontId="0" fillId="0" borderId="0" xfId="0" applyNumberFormat="1" applyAlignment="1">
      <alignment horizontal="right"/>
    </xf>
    <xf numFmtId="1" fontId="6" fillId="0" borderId="0" xfId="0" applyNumberFormat="1" applyFont="1"/>
    <xf numFmtId="0" fontId="6" fillId="0" borderId="0" xfId="0" applyFont="1"/>
    <xf numFmtId="0" fontId="2" fillId="0" borderId="0" xfId="0" applyFont="1"/>
    <xf numFmtId="0" fontId="8" fillId="0" borderId="0" xfId="0" applyFont="1"/>
    <xf numFmtId="0" fontId="9" fillId="6" borderId="0" xfId="0" applyFont="1" applyFill="1"/>
    <xf numFmtId="0" fontId="10" fillId="6" borderId="0" xfId="0" applyFont="1" applyFill="1"/>
    <xf numFmtId="0" fontId="9" fillId="0" borderId="0" xfId="0" applyFont="1"/>
    <xf numFmtId="1" fontId="5" fillId="0" borderId="0" xfId="0" applyNumberFormat="1" applyFont="1"/>
    <xf numFmtId="0" fontId="5" fillId="0" borderId="0" xfId="0" applyFont="1"/>
    <xf numFmtId="1" fontId="5" fillId="0" borderId="5" xfId="0" applyNumberFormat="1" applyFont="1" applyBorder="1"/>
    <xf numFmtId="1" fontId="5" fillId="0" borderId="6" xfId="0" applyNumberFormat="1" applyFont="1" applyBorder="1"/>
    <xf numFmtId="0" fontId="5" fillId="0" borderId="5" xfId="0" applyFont="1" applyBorder="1"/>
    <xf numFmtId="1" fontId="5" fillId="0" borderId="4" xfId="0" applyNumberFormat="1" applyFont="1" applyBorder="1"/>
    <xf numFmtId="1" fontId="5" fillId="0" borderId="7" xfId="0" applyNumberFormat="1" applyFont="1" applyBorder="1"/>
    <xf numFmtId="0" fontId="5" fillId="0" borderId="8" xfId="0" applyFont="1" applyBorder="1"/>
    <xf numFmtId="1" fontId="5" fillId="0" borderId="1" xfId="0" applyNumberFormat="1" applyFont="1" applyBorder="1"/>
    <xf numFmtId="0" fontId="5" fillId="0" borderId="9" xfId="0" applyFont="1" applyBorder="1"/>
    <xf numFmtId="1" fontId="5" fillId="0" borderId="10" xfId="0" applyNumberFormat="1" applyFont="1" applyBorder="1"/>
    <xf numFmtId="0" fontId="5" fillId="0" borderId="10" xfId="0" applyFont="1" applyBorder="1"/>
    <xf numFmtId="1" fontId="5" fillId="0" borderId="8" xfId="0" applyNumberFormat="1" applyFont="1" applyBorder="1"/>
    <xf numFmtId="1" fontId="5" fillId="0" borderId="11" xfId="0" applyNumberFormat="1" applyFont="1" applyBorder="1"/>
    <xf numFmtId="1" fontId="5" fillId="7" borderId="11" xfId="0" applyNumberFormat="1" applyFont="1" applyFill="1" applyBorder="1" applyAlignment="1">
      <alignment horizontal="left"/>
    </xf>
    <xf numFmtId="1" fontId="5" fillId="7" borderId="1" xfId="0" applyNumberFormat="1" applyFont="1" applyFill="1" applyBorder="1" applyAlignment="1">
      <alignment horizontal="left"/>
    </xf>
    <xf numFmtId="0" fontId="5" fillId="7" borderId="5" xfId="0" applyFont="1" applyFill="1" applyBorder="1" applyAlignment="1">
      <alignment horizontal="left"/>
    </xf>
    <xf numFmtId="0" fontId="5" fillId="7" borderId="9" xfId="0" applyFont="1" applyFill="1" applyBorder="1" applyAlignment="1">
      <alignment horizontal="left"/>
    </xf>
    <xf numFmtId="1" fontId="6" fillId="0" borderId="11" xfId="0" applyNumberFormat="1" applyFont="1" applyBorder="1" applyAlignment="1">
      <alignment horizontal="left"/>
    </xf>
    <xf numFmtId="1" fontId="6" fillId="0" borderId="1" xfId="0" applyNumberFormat="1" applyFont="1" applyBorder="1" applyAlignment="1">
      <alignment horizontal="left"/>
    </xf>
    <xf numFmtId="0" fontId="6" fillId="0" borderId="9" xfId="0" applyFont="1" applyBorder="1" applyAlignment="1">
      <alignment horizontal="left"/>
    </xf>
    <xf numFmtId="1" fontId="5" fillId="4" borderId="11" xfId="0" applyNumberFormat="1" applyFont="1" applyFill="1" applyBorder="1" applyAlignment="1">
      <alignment horizontal="left"/>
    </xf>
    <xf numFmtId="1" fontId="5" fillId="4" borderId="1" xfId="0" applyNumberFormat="1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1" fontId="5" fillId="8" borderId="11" xfId="0" applyNumberFormat="1" applyFont="1" applyFill="1" applyBorder="1" applyAlignment="1">
      <alignment horizontal="left"/>
    </xf>
    <xf numFmtId="1" fontId="5" fillId="8" borderId="1" xfId="0" applyNumberFormat="1" applyFont="1" applyFill="1" applyBorder="1" applyAlignment="1">
      <alignment horizontal="left"/>
    </xf>
    <xf numFmtId="0" fontId="4" fillId="8" borderId="9" xfId="0" applyFont="1" applyFill="1" applyBorder="1" applyAlignment="1">
      <alignment horizontal="left"/>
    </xf>
    <xf numFmtId="1" fontId="6" fillId="3" borderId="11" xfId="0" applyNumberFormat="1" applyFont="1" applyFill="1" applyBorder="1" applyAlignment="1">
      <alignment horizontal="left"/>
    </xf>
    <xf numFmtId="1" fontId="6" fillId="3" borderId="1" xfId="0" applyNumberFormat="1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2" fillId="0" borderId="9" xfId="0" applyFont="1" applyBorder="1" applyAlignment="1">
      <alignment horizontal="left"/>
    </xf>
    <xf numFmtId="3" fontId="6" fillId="0" borderId="11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3" fontId="3" fillId="0" borderId="5" xfId="0" applyNumberFormat="1" applyFont="1" applyBorder="1" applyAlignment="1">
      <alignment horizontal="left"/>
    </xf>
    <xf numFmtId="1" fontId="5" fillId="0" borderId="1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5" fillId="0" borderId="0" xfId="0" applyFont="1"/>
    <xf numFmtId="0" fontId="4" fillId="0" borderId="0" xfId="0" applyFont="1"/>
    <xf numFmtId="0" fontId="4" fillId="0" borderId="6" xfId="0" applyFont="1" applyBorder="1"/>
    <xf numFmtId="0" fontId="5" fillId="0" borderId="6" xfId="0" applyFont="1" applyBorder="1"/>
    <xf numFmtId="0" fontId="5" fillId="0" borderId="12" xfId="0" applyFont="1" applyBorder="1"/>
    <xf numFmtId="0" fontId="15" fillId="9" borderId="10" xfId="0" applyFont="1" applyFill="1" applyBorder="1" applyAlignment="1">
      <alignment horizontal="center" wrapText="1"/>
    </xf>
    <xf numFmtId="0" fontId="15" fillId="2" borderId="10" xfId="0" applyFont="1" applyFill="1" applyBorder="1" applyAlignment="1">
      <alignment horizontal="center" wrapText="1"/>
    </xf>
    <xf numFmtId="0" fontId="15" fillId="10" borderId="10" xfId="0" applyFont="1" applyFill="1" applyBorder="1" applyAlignment="1">
      <alignment horizontal="center" wrapText="1"/>
    </xf>
    <xf numFmtId="0" fontId="5" fillId="0" borderId="13" xfId="0" applyFont="1" applyBorder="1"/>
    <xf numFmtId="0" fontId="15" fillId="9" borderId="2" xfId="0" applyFont="1" applyFill="1" applyBorder="1" applyAlignment="1">
      <alignment horizontal="center" wrapText="1"/>
    </xf>
    <xf numFmtId="0" fontId="15" fillId="2" borderId="2" xfId="0" applyFont="1" applyFill="1" applyBorder="1" applyAlignment="1">
      <alignment horizontal="center" wrapText="1"/>
    </xf>
    <xf numFmtId="0" fontId="15" fillId="10" borderId="2" xfId="0" applyFont="1" applyFill="1" applyBorder="1" applyAlignment="1">
      <alignment horizontal="center" wrapText="1"/>
    </xf>
    <xf numFmtId="0" fontId="5" fillId="0" borderId="13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15" fillId="9" borderId="1" xfId="0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wrapText="1"/>
    </xf>
    <xf numFmtId="0" fontId="15" fillId="10" borderId="1" xfId="0" applyFont="1" applyFill="1" applyBorder="1" applyAlignment="1">
      <alignment horizontal="center" wrapText="1"/>
    </xf>
    <xf numFmtId="3" fontId="15" fillId="9" borderId="1" xfId="0" applyNumberFormat="1" applyFont="1" applyFill="1" applyBorder="1" applyAlignment="1">
      <alignment horizontal="right"/>
    </xf>
    <xf numFmtId="3" fontId="15" fillId="2" borderId="1" xfId="0" applyNumberFormat="1" applyFont="1" applyFill="1" applyBorder="1" applyAlignment="1">
      <alignment horizontal="right"/>
    </xf>
    <xf numFmtId="3" fontId="15" fillId="10" borderId="1" xfId="0" applyNumberFormat="1" applyFont="1" applyFill="1" applyBorder="1" applyAlignment="1">
      <alignment horizontal="right"/>
    </xf>
    <xf numFmtId="0" fontId="5" fillId="0" borderId="11" xfId="0" applyFont="1" applyBorder="1"/>
    <xf numFmtId="0" fontId="4" fillId="0" borderId="9" xfId="0" applyFont="1" applyBorder="1"/>
    <xf numFmtId="0" fontId="5" fillId="0" borderId="14" xfId="0" applyFont="1" applyBorder="1"/>
    <xf numFmtId="0" fontId="4" fillId="0" borderId="14" xfId="0" applyFont="1" applyBorder="1"/>
    <xf numFmtId="0" fontId="4" fillId="0" borderId="10" xfId="0" applyFont="1" applyBorder="1"/>
    <xf numFmtId="3" fontId="15" fillId="9" borderId="10" xfId="0" applyNumberFormat="1" applyFont="1" applyFill="1" applyBorder="1" applyAlignment="1">
      <alignment horizontal="right"/>
    </xf>
    <xf numFmtId="3" fontId="15" fillId="2" borderId="10" xfId="0" applyNumberFormat="1" applyFont="1" applyFill="1" applyBorder="1" applyAlignment="1">
      <alignment horizontal="right"/>
    </xf>
    <xf numFmtId="3" fontId="15" fillId="10" borderId="10" xfId="0" applyNumberFormat="1" applyFont="1" applyFill="1" applyBorder="1" applyAlignment="1">
      <alignment horizontal="right"/>
    </xf>
    <xf numFmtId="0" fontId="5" fillId="6" borderId="0" xfId="0" applyFont="1" applyFill="1"/>
    <xf numFmtId="3" fontId="15" fillId="6" borderId="0" xfId="0" applyNumberFormat="1" applyFont="1" applyFill="1" applyAlignment="1">
      <alignment horizontal="right"/>
    </xf>
    <xf numFmtId="0" fontId="15" fillId="6" borderId="0" xfId="0" applyFont="1" applyFill="1"/>
    <xf numFmtId="0" fontId="6" fillId="6" borderId="0" xfId="0" applyFont="1" applyFill="1"/>
    <xf numFmtId="0" fontId="8" fillId="6" borderId="0" xfId="0" applyFont="1" applyFill="1"/>
    <xf numFmtId="0" fontId="15" fillId="9" borderId="3" xfId="0" applyFont="1" applyFill="1" applyBorder="1" applyAlignment="1">
      <alignment horizontal="center" wrapText="1"/>
    </xf>
    <xf numFmtId="0" fontId="15" fillId="2" borderId="3" xfId="0" applyFont="1" applyFill="1" applyBorder="1" applyAlignment="1">
      <alignment horizontal="center" wrapText="1"/>
    </xf>
    <xf numFmtId="0" fontId="15" fillId="10" borderId="3" xfId="0" applyFont="1" applyFill="1" applyBorder="1" applyAlignment="1">
      <alignment horizontal="center" wrapText="1"/>
    </xf>
    <xf numFmtId="0" fontId="5" fillId="0" borderId="7" xfId="0" applyFont="1" applyBorder="1"/>
    <xf numFmtId="0" fontId="5" fillId="0" borderId="15" xfId="0" applyFont="1" applyBorder="1"/>
    <xf numFmtId="0" fontId="4" fillId="7" borderId="6" xfId="0" applyFont="1" applyFill="1" applyBorder="1" applyAlignment="1">
      <alignment horizontal="left"/>
    </xf>
    <xf numFmtId="0" fontId="5" fillId="7" borderId="11" xfId="0" applyFont="1" applyFill="1" applyBorder="1" applyAlignment="1">
      <alignment horizontal="left"/>
    </xf>
    <xf numFmtId="0" fontId="5" fillId="7" borderId="12" xfId="0" applyFont="1" applyFill="1" applyBorder="1"/>
    <xf numFmtId="3" fontId="15" fillId="9" borderId="1" xfId="0" applyNumberFormat="1" applyFont="1" applyFill="1" applyBorder="1"/>
    <xf numFmtId="3" fontId="15" fillId="2" borderId="1" xfId="0" applyNumberFormat="1" applyFont="1" applyFill="1" applyBorder="1"/>
    <xf numFmtId="3" fontId="15" fillId="10" borderId="1" xfId="0" applyNumberFormat="1" applyFont="1" applyFill="1" applyBorder="1"/>
    <xf numFmtId="0" fontId="4" fillId="7" borderId="14" xfId="0" applyFont="1" applyFill="1" applyBorder="1" applyAlignment="1">
      <alignment horizontal="left"/>
    </xf>
    <xf numFmtId="0" fontId="5" fillId="7" borderId="1" xfId="0" applyFont="1" applyFill="1" applyBorder="1"/>
    <xf numFmtId="0" fontId="2" fillId="0" borderId="14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8" fillId="9" borderId="1" xfId="0" applyFont="1" applyFill="1" applyBorder="1"/>
    <xf numFmtId="0" fontId="8" fillId="2" borderId="1" xfId="0" applyFont="1" applyFill="1" applyBorder="1"/>
    <xf numFmtId="0" fontId="8" fillId="10" borderId="1" xfId="0" applyFont="1" applyFill="1" applyBorder="1"/>
    <xf numFmtId="0" fontId="4" fillId="4" borderId="14" xfId="0" applyFont="1" applyFill="1" applyBorder="1" applyAlignment="1">
      <alignment horizontal="left"/>
    </xf>
    <xf numFmtId="0" fontId="5" fillId="4" borderId="11" xfId="0" applyFont="1" applyFill="1" applyBorder="1" applyAlignment="1">
      <alignment horizontal="left"/>
    </xf>
    <xf numFmtId="0" fontId="5" fillId="4" borderId="1" xfId="0" applyFont="1" applyFill="1" applyBorder="1"/>
    <xf numFmtId="0" fontId="4" fillId="8" borderId="14" xfId="0" applyFont="1" applyFill="1" applyBorder="1" applyAlignment="1">
      <alignment horizontal="left"/>
    </xf>
    <xf numFmtId="0" fontId="5" fillId="8" borderId="11" xfId="0" applyFont="1" applyFill="1" applyBorder="1" applyAlignment="1">
      <alignment horizontal="left"/>
    </xf>
    <xf numFmtId="0" fontId="5" fillId="8" borderId="1" xfId="0" applyFont="1" applyFill="1" applyBorder="1"/>
    <xf numFmtId="0" fontId="2" fillId="3" borderId="14" xfId="0" applyFont="1" applyFill="1" applyBorder="1" applyAlignment="1">
      <alignment horizontal="left"/>
    </xf>
    <xf numFmtId="0" fontId="6" fillId="3" borderId="11" xfId="0" applyFont="1" applyFill="1" applyBorder="1" applyAlignment="1">
      <alignment horizontal="left"/>
    </xf>
    <xf numFmtId="3" fontId="8" fillId="9" borderId="1" xfId="0" applyNumberFormat="1" applyFont="1" applyFill="1" applyBorder="1"/>
    <xf numFmtId="3" fontId="8" fillId="2" borderId="1" xfId="0" applyNumberFormat="1" applyFont="1" applyFill="1" applyBorder="1"/>
    <xf numFmtId="3" fontId="8" fillId="10" borderId="1" xfId="0" applyNumberFormat="1" applyFont="1" applyFill="1" applyBorder="1"/>
    <xf numFmtId="0" fontId="6" fillId="0" borderId="11" xfId="0" applyFont="1" applyBorder="1"/>
    <xf numFmtId="3" fontId="2" fillId="0" borderId="6" xfId="0" applyNumberFormat="1" applyFont="1" applyBorder="1" applyAlignment="1">
      <alignment horizontal="right"/>
    </xf>
    <xf numFmtId="3" fontId="6" fillId="0" borderId="12" xfId="0" applyNumberFormat="1" applyFont="1" applyBorder="1" applyAlignment="1">
      <alignment horizontal="right"/>
    </xf>
    <xf numFmtId="3" fontId="8" fillId="0" borderId="12" xfId="0" applyNumberFormat="1" applyFont="1" applyBorder="1" applyAlignment="1">
      <alignment horizontal="left"/>
    </xf>
    <xf numFmtId="3" fontId="8" fillId="9" borderId="1" xfId="0" applyNumberFormat="1" applyFont="1" applyFill="1" applyBorder="1" applyAlignment="1">
      <alignment horizontal="right" wrapText="1"/>
    </xf>
    <xf numFmtId="3" fontId="8" fillId="2" borderId="1" xfId="0" applyNumberFormat="1" applyFont="1" applyFill="1" applyBorder="1" applyAlignment="1">
      <alignment horizontal="right" wrapText="1"/>
    </xf>
    <xf numFmtId="3" fontId="8" fillId="10" borderId="1" xfId="0" applyNumberFormat="1" applyFont="1" applyFill="1" applyBorder="1" applyAlignment="1">
      <alignment horizontal="right" wrapText="1"/>
    </xf>
    <xf numFmtId="0" fontId="6" fillId="3" borderId="11" xfId="0" applyFont="1" applyFill="1" applyBorder="1"/>
    <xf numFmtId="0" fontId="4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3" fontId="8" fillId="6" borderId="0" xfId="0" applyNumberFormat="1" applyFont="1" applyFill="1" applyAlignment="1">
      <alignment horizontal="right"/>
    </xf>
    <xf numFmtId="0" fontId="15" fillId="10" borderId="5" xfId="0" applyFont="1" applyFill="1" applyBorder="1" applyAlignment="1">
      <alignment horizontal="center" wrapText="1"/>
    </xf>
    <xf numFmtId="0" fontId="17" fillId="4" borderId="6" xfId="0" applyFont="1" applyFill="1" applyBorder="1"/>
    <xf numFmtId="0" fontId="17" fillId="4" borderId="11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17" fillId="4" borderId="9" xfId="0" applyFont="1" applyFill="1" applyBorder="1" applyAlignment="1">
      <alignment horizontal="center"/>
    </xf>
    <xf numFmtId="0" fontId="17" fillId="4" borderId="10" xfId="0" applyFont="1" applyFill="1" applyBorder="1" applyAlignment="1">
      <alignment horizontal="center"/>
    </xf>
    <xf numFmtId="0" fontId="17" fillId="4" borderId="3" xfId="0" applyFont="1" applyFill="1" applyBorder="1"/>
    <xf numFmtId="0" fontId="17" fillId="4" borderId="3" xfId="0" applyFont="1" applyFill="1" applyBorder="1" applyAlignment="1">
      <alignment horizontal="center"/>
    </xf>
    <xf numFmtId="0" fontId="17" fillId="4" borderId="2" xfId="0" applyFont="1" applyFill="1" applyBorder="1"/>
    <xf numFmtId="0" fontId="17" fillId="4" borderId="2" xfId="0" applyFont="1" applyFill="1" applyBorder="1" applyAlignment="1">
      <alignment horizontal="center"/>
    </xf>
    <xf numFmtId="164" fontId="15" fillId="2" borderId="1" xfId="0" applyNumberFormat="1" applyFont="1" applyFill="1" applyBorder="1" applyAlignment="1">
      <alignment horizontal="right"/>
    </xf>
    <xf numFmtId="0" fontId="15" fillId="6" borderId="0" xfId="0" applyFont="1" applyFill="1" applyAlignment="1">
      <alignment horizontal="center" wrapText="1"/>
    </xf>
    <xf numFmtId="3" fontId="15" fillId="6" borderId="0" xfId="0" applyNumberFormat="1" applyFont="1" applyFill="1" applyAlignment="1">
      <alignment horizontal="right" wrapText="1"/>
    </xf>
    <xf numFmtId="0" fontId="8" fillId="9" borderId="1" xfId="0" applyFont="1" applyFill="1" applyBorder="1" applyAlignment="1">
      <alignment horizontal="right"/>
    </xf>
    <xf numFmtId="0" fontId="8" fillId="10" borderId="1" xfId="0" applyFont="1" applyFill="1" applyBorder="1" applyAlignment="1">
      <alignment horizontal="right"/>
    </xf>
    <xf numFmtId="3" fontId="8" fillId="9" borderId="1" xfId="0" applyNumberFormat="1" applyFont="1" applyFill="1" applyBorder="1" applyAlignment="1">
      <alignment horizontal="right"/>
    </xf>
    <xf numFmtId="0" fontId="15" fillId="9" borderId="1" xfId="0" applyFont="1" applyFill="1" applyBorder="1" applyAlignment="1">
      <alignment horizontal="right" wrapText="1"/>
    </xf>
    <xf numFmtId="0" fontId="15" fillId="10" borderId="1" xfId="0" applyFont="1" applyFill="1" applyBorder="1" applyAlignment="1">
      <alignment horizontal="right" wrapText="1"/>
    </xf>
    <xf numFmtId="3" fontId="15" fillId="9" borderId="1" xfId="0" applyNumberFormat="1" applyFont="1" applyFill="1" applyBorder="1" applyAlignment="1">
      <alignment horizontal="right" wrapText="1"/>
    </xf>
    <xf numFmtId="3" fontId="8" fillId="0" borderId="1" xfId="0" applyNumberFormat="1" applyFont="1" applyBorder="1"/>
    <xf numFmtId="3" fontId="8" fillId="9" borderId="1" xfId="1" applyNumberFormat="1" applyFont="1" applyFill="1" applyBorder="1" applyAlignment="1">
      <alignment horizontal="right"/>
    </xf>
    <xf numFmtId="3" fontId="8" fillId="10" borderId="1" xfId="0" applyNumberFormat="1" applyFont="1" applyFill="1" applyBorder="1" applyAlignment="1">
      <alignment horizontal="right"/>
    </xf>
    <xf numFmtId="3" fontId="8" fillId="9" borderId="1" xfId="1" applyNumberFormat="1" applyFont="1" applyFill="1" applyBorder="1" applyAlignment="1">
      <alignment horizontal="right" wrapText="1"/>
    </xf>
    <xf numFmtId="3" fontId="15" fillId="9" borderId="1" xfId="1" applyNumberFormat="1" applyFont="1" applyFill="1" applyBorder="1" applyAlignment="1">
      <alignment horizontal="right"/>
    </xf>
    <xf numFmtId="0" fontId="15" fillId="9" borderId="1" xfId="1" applyFont="1" applyFill="1" applyBorder="1" applyAlignment="1">
      <alignment horizontal="right" wrapText="1"/>
    </xf>
    <xf numFmtId="0" fontId="18" fillId="6" borderId="0" xfId="0" applyFont="1" applyFill="1"/>
    <xf numFmtId="0" fontId="19" fillId="6" borderId="0" xfId="0" applyFont="1" applyFill="1"/>
    <xf numFmtId="3" fontId="18" fillId="6" borderId="1" xfId="0" applyNumberFormat="1" applyFont="1" applyFill="1" applyBorder="1" applyAlignment="1">
      <alignment horizontal="right"/>
    </xf>
    <xf numFmtId="3" fontId="19" fillId="6" borderId="1" xfId="0" applyNumberFormat="1" applyFont="1" applyFill="1" applyBorder="1" applyAlignment="1">
      <alignment horizontal="right"/>
    </xf>
    <xf numFmtId="3" fontId="18" fillId="6" borderId="10" xfId="0" applyNumberFormat="1" applyFont="1" applyFill="1" applyBorder="1" applyAlignment="1">
      <alignment horizontal="right"/>
    </xf>
    <xf numFmtId="3" fontId="19" fillId="6" borderId="10" xfId="0" applyNumberFormat="1" applyFont="1" applyFill="1" applyBorder="1" applyAlignment="1">
      <alignment horizontal="right"/>
    </xf>
    <xf numFmtId="3" fontId="18" fillId="6" borderId="0" xfId="0" applyNumberFormat="1" applyFont="1" applyFill="1" applyAlignment="1">
      <alignment horizontal="right"/>
    </xf>
    <xf numFmtId="3" fontId="19" fillId="6" borderId="0" xfId="0" applyNumberFormat="1" applyFont="1" applyFill="1" applyAlignment="1">
      <alignment horizontal="right"/>
    </xf>
    <xf numFmtId="0" fontId="18" fillId="6" borderId="0" xfId="0" applyFont="1" applyFill="1" applyAlignment="1">
      <alignment horizontal="center" wrapText="1"/>
    </xf>
    <xf numFmtId="3" fontId="10" fillId="6" borderId="1" xfId="0" applyNumberFormat="1" applyFont="1" applyFill="1" applyBorder="1" applyAlignment="1">
      <alignment horizontal="right"/>
    </xf>
    <xf numFmtId="0" fontId="9" fillId="6" borderId="1" xfId="0" applyFont="1" applyFill="1" applyBorder="1" applyAlignment="1">
      <alignment horizontal="right"/>
    </xf>
    <xf numFmtId="0" fontId="10" fillId="6" borderId="1" xfId="0" applyFont="1" applyFill="1" applyBorder="1" applyAlignment="1">
      <alignment horizontal="right"/>
    </xf>
    <xf numFmtId="0" fontId="18" fillId="6" borderId="1" xfId="0" applyFont="1" applyFill="1" applyBorder="1" applyAlignment="1">
      <alignment horizontal="right" wrapText="1"/>
    </xf>
    <xf numFmtId="0" fontId="19" fillId="6" borderId="1" xfId="0" applyFont="1" applyFill="1" applyBorder="1" applyAlignment="1">
      <alignment horizontal="right" wrapText="1"/>
    </xf>
    <xf numFmtId="3" fontId="9" fillId="6" borderId="1" xfId="0" applyNumberFormat="1" applyFont="1" applyFill="1" applyBorder="1" applyAlignment="1">
      <alignment horizontal="right"/>
    </xf>
    <xf numFmtId="3" fontId="9" fillId="6" borderId="1" xfId="0" applyNumberFormat="1" applyFont="1" applyFill="1" applyBorder="1" applyAlignment="1">
      <alignment horizontal="right" wrapText="1"/>
    </xf>
    <xf numFmtId="3" fontId="10" fillId="6" borderId="1" xfId="0" applyNumberFormat="1" applyFont="1" applyFill="1" applyBorder="1" applyAlignment="1">
      <alignment horizontal="right" wrapText="1"/>
    </xf>
    <xf numFmtId="0" fontId="15" fillId="10" borderId="0" xfId="0" applyFont="1" applyFill="1" applyAlignment="1">
      <alignment horizontal="center" wrapText="1"/>
    </xf>
    <xf numFmtId="3" fontId="15" fillId="10" borderId="9" xfId="0" applyNumberFormat="1" applyFont="1" applyFill="1" applyBorder="1" applyAlignment="1">
      <alignment horizontal="right"/>
    </xf>
    <xf numFmtId="0" fontId="7" fillId="0" borderId="0" xfId="0" applyFont="1"/>
    <xf numFmtId="0" fontId="17" fillId="4" borderId="0" xfId="0" applyFont="1" applyFill="1" applyAlignment="1">
      <alignment horizontal="center"/>
    </xf>
    <xf numFmtId="0" fontId="18" fillId="0" borderId="4" xfId="0" applyFont="1" applyBorder="1" applyAlignment="1">
      <alignment horizontal="center" wrapText="1"/>
    </xf>
    <xf numFmtId="0" fontId="18" fillId="0" borderId="7" xfId="0" applyFont="1" applyBorder="1" applyAlignment="1">
      <alignment horizontal="center" wrapText="1"/>
    </xf>
    <xf numFmtId="0" fontId="18" fillId="0" borderId="15" xfId="0" applyFont="1" applyBorder="1" applyAlignment="1">
      <alignment horizontal="center" wrapText="1"/>
    </xf>
    <xf numFmtId="0" fontId="0" fillId="0" borderId="0" xfId="0" applyAlignment="1">
      <alignment horizontal="right"/>
    </xf>
    <xf numFmtId="3" fontId="18" fillId="0" borderId="1" xfId="0" applyNumberFormat="1" applyFont="1" applyBorder="1" applyAlignment="1">
      <alignment horizontal="center"/>
    </xf>
    <xf numFmtId="3" fontId="18" fillId="0" borderId="10" xfId="0" applyNumberFormat="1" applyFont="1" applyBorder="1" applyAlignment="1">
      <alignment horizontal="center"/>
    </xf>
    <xf numFmtId="0" fontId="0" fillId="0" borderId="1" xfId="0" applyBorder="1" applyAlignment="1">
      <alignment horizontal="right"/>
    </xf>
    <xf numFmtId="0" fontId="17" fillId="4" borderId="7" xfId="0" applyFont="1" applyFill="1" applyBorder="1" applyAlignment="1">
      <alignment horizontal="center"/>
    </xf>
    <xf numFmtId="0" fontId="20" fillId="0" borderId="2" xfId="0" applyFont="1" applyBorder="1" applyAlignment="1">
      <alignment wrapText="1"/>
    </xf>
    <xf numFmtId="3" fontId="3" fillId="0" borderId="9" xfId="0" applyNumberFormat="1" applyFont="1" applyBorder="1" applyAlignment="1">
      <alignment horizontal="right"/>
    </xf>
    <xf numFmtId="3" fontId="21" fillId="2" borderId="1" xfId="0" applyNumberFormat="1" applyFont="1" applyFill="1" applyBorder="1" applyAlignment="1">
      <alignment horizontal="right"/>
    </xf>
    <xf numFmtId="3" fontId="9" fillId="0" borderId="9" xfId="0" applyNumberFormat="1" applyFont="1" applyBorder="1" applyAlignment="1">
      <alignment horizontal="center"/>
    </xf>
    <xf numFmtId="3" fontId="9" fillId="0" borderId="14" xfId="0" applyNumberFormat="1" applyFont="1" applyBorder="1" applyAlignment="1">
      <alignment horizontal="center"/>
    </xf>
    <xf numFmtId="3" fontId="9" fillId="0" borderId="11" xfId="0" applyNumberFormat="1" applyFont="1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1" fontId="5" fillId="6" borderId="11" xfId="0" applyNumberFormat="1" applyFont="1" applyFill="1" applyBorder="1" applyAlignment="1">
      <alignment horizontal="left"/>
    </xf>
    <xf numFmtId="1" fontId="5" fillId="6" borderId="1" xfId="0" applyNumberFormat="1" applyFont="1" applyFill="1" applyBorder="1" applyAlignment="1">
      <alignment horizontal="left"/>
    </xf>
    <xf numFmtId="0" fontId="4" fillId="6" borderId="9" xfId="0" applyFont="1" applyFill="1" applyBorder="1" applyAlignment="1">
      <alignment horizontal="left"/>
    </xf>
    <xf numFmtId="1" fontId="6" fillId="0" borderId="11" xfId="0" applyNumberFormat="1" applyFont="1" applyBorder="1"/>
    <xf numFmtId="1" fontId="6" fillId="0" borderId="1" xfId="0" applyNumberFormat="1" applyFont="1" applyBorder="1"/>
    <xf numFmtId="0" fontId="2" fillId="0" borderId="9" xfId="0" applyFont="1" applyBorder="1"/>
    <xf numFmtId="0" fontId="4" fillId="0" borderId="9" xfId="0" applyFont="1" applyBorder="1" applyAlignment="1">
      <alignment horizontal="center"/>
    </xf>
    <xf numFmtId="0" fontId="4" fillId="6" borderId="14" xfId="0" applyFont="1" applyFill="1" applyBorder="1" applyAlignment="1">
      <alignment horizontal="left"/>
    </xf>
    <xf numFmtId="0" fontId="5" fillId="6" borderId="11" xfId="0" applyFont="1" applyFill="1" applyBorder="1" applyAlignment="1">
      <alignment horizontal="left"/>
    </xf>
    <xf numFmtId="0" fontId="5" fillId="6" borderId="1" xfId="0" applyFont="1" applyFill="1" applyBorder="1"/>
    <xf numFmtId="0" fontId="2" fillId="0" borderId="14" xfId="0" applyFont="1" applyBorder="1"/>
    <xf numFmtId="0" fontId="15" fillId="0" borderId="11" xfId="0" applyFont="1" applyBorder="1" applyAlignment="1">
      <alignment horizontal="left"/>
    </xf>
    <xf numFmtId="0" fontId="15" fillId="9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5" fillId="10" borderId="1" xfId="0" applyFont="1" applyFill="1" applyBorder="1" applyAlignment="1">
      <alignment horizontal="center"/>
    </xf>
    <xf numFmtId="0" fontId="8" fillId="9" borderId="1" xfId="1" applyFont="1" applyFill="1" applyBorder="1" applyAlignment="1">
      <alignment horizontal="right"/>
    </xf>
    <xf numFmtId="0" fontId="15" fillId="9" borderId="1" xfId="1" applyFont="1" applyFill="1" applyBorder="1" applyAlignment="1">
      <alignment horizontal="right"/>
    </xf>
    <xf numFmtId="0" fontId="15" fillId="10" borderId="1" xfId="0" applyFont="1" applyFill="1" applyBorder="1" applyAlignment="1">
      <alignment horizontal="right"/>
    </xf>
    <xf numFmtId="0" fontId="18" fillId="6" borderId="1" xfId="0" applyFont="1" applyFill="1" applyBorder="1" applyAlignment="1">
      <alignment horizontal="right"/>
    </xf>
    <xf numFmtId="0" fontId="19" fillId="6" borderId="1" xfId="0" applyFont="1" applyFill="1" applyBorder="1" applyAlignment="1">
      <alignment horizontal="right"/>
    </xf>
    <xf numFmtId="1" fontId="5" fillId="0" borderId="11" xfId="0" applyNumberFormat="1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15" fillId="0" borderId="12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1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1" fontId="5" fillId="0" borderId="5" xfId="0" applyNumberFormat="1" applyFont="1" applyBorder="1" applyAlignment="1">
      <alignment horizontal="center" wrapText="1"/>
    </xf>
    <xf numFmtId="1" fontId="5" fillId="0" borderId="6" xfId="0" applyNumberFormat="1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1" fontId="5" fillId="0" borderId="4" xfId="0" applyNumberFormat="1" applyFont="1" applyBorder="1" applyAlignment="1">
      <alignment horizontal="center" wrapText="1"/>
    </xf>
    <xf numFmtId="1" fontId="5" fillId="0" borderId="7" xfId="0" applyNumberFormat="1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1" fontId="6" fillId="7" borderId="1" xfId="0" applyNumberFormat="1" applyFont="1" applyFill="1" applyBorder="1" applyAlignment="1">
      <alignment horizontal="left"/>
    </xf>
    <xf numFmtId="0" fontId="6" fillId="7" borderId="9" xfId="0" applyFont="1" applyFill="1" applyBorder="1" applyAlignment="1">
      <alignment horizontal="left"/>
    </xf>
    <xf numFmtId="1" fontId="5" fillId="0" borderId="1" xfId="0" applyNumberFormat="1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4" fillId="0" borderId="6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2" fillId="7" borderId="14" xfId="0" applyFont="1" applyFill="1" applyBorder="1" applyAlignment="1">
      <alignment horizontal="left"/>
    </xf>
    <xf numFmtId="0" fontId="6" fillId="7" borderId="11" xfId="0" applyFont="1" applyFill="1" applyBorder="1" applyAlignment="1">
      <alignment horizontal="left"/>
    </xf>
    <xf numFmtId="0" fontId="4" fillId="0" borderId="14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15" fillId="6" borderId="0" xfId="0" applyFont="1" applyFill="1" applyAlignment="1">
      <alignment horizontal="left"/>
    </xf>
    <xf numFmtId="3" fontId="15" fillId="6" borderId="1" xfId="0" applyNumberFormat="1" applyFont="1" applyFill="1" applyBorder="1" applyAlignment="1">
      <alignment horizontal="left"/>
    </xf>
    <xf numFmtId="3" fontId="15" fillId="6" borderId="0" xfId="0" applyNumberFormat="1" applyFont="1" applyFill="1" applyAlignment="1">
      <alignment horizontal="left"/>
    </xf>
    <xf numFmtId="0" fontId="17" fillId="4" borderId="6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18" fillId="6" borderId="0" xfId="0" applyFont="1" applyFill="1" applyAlignment="1">
      <alignment horizontal="left"/>
    </xf>
    <xf numFmtId="0" fontId="19" fillId="6" borderId="0" xfId="0" applyFont="1" applyFill="1" applyAlignment="1">
      <alignment horizontal="left"/>
    </xf>
    <xf numFmtId="3" fontId="10" fillId="6" borderId="6" xfId="0" applyNumberFormat="1" applyFont="1" applyFill="1" applyBorder="1" applyAlignment="1">
      <alignment horizontal="left"/>
    </xf>
    <xf numFmtId="3" fontId="10" fillId="6" borderId="7" xfId="0" applyNumberFormat="1" applyFont="1" applyFill="1" applyBorder="1" applyAlignment="1">
      <alignment horizontal="left"/>
    </xf>
    <xf numFmtId="3" fontId="18" fillId="6" borderId="1" xfId="0" applyNumberFormat="1" applyFont="1" applyFill="1" applyBorder="1" applyAlignment="1">
      <alignment horizontal="left"/>
    </xf>
    <xf numFmtId="0" fontId="15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5" fillId="4" borderId="9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1" fontId="5" fillId="3" borderId="1" xfId="0" applyNumberFormat="1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6" borderId="14" xfId="0" applyFont="1" applyFill="1" applyBorder="1" applyAlignment="1">
      <alignment horizontal="left"/>
    </xf>
    <xf numFmtId="0" fontId="6" fillId="6" borderId="11" xfId="0" applyFont="1" applyFill="1" applyBorder="1" applyAlignment="1">
      <alignment horizontal="left"/>
    </xf>
    <xf numFmtId="0" fontId="2" fillId="0" borderId="6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12" xfId="0" applyFont="1" applyBorder="1"/>
    <xf numFmtId="0" fontId="5" fillId="8" borderId="11" xfId="0" applyFont="1" applyFill="1" applyBorder="1"/>
    <xf numFmtId="0" fontId="5" fillId="0" borderId="1" xfId="0" applyFont="1" applyBorder="1" applyAlignment="1">
      <alignment horizontal="left"/>
    </xf>
    <xf numFmtId="0" fontId="15" fillId="9" borderId="1" xfId="0" applyFont="1" applyFill="1" applyBorder="1" applyAlignment="1">
      <alignment horizontal="right"/>
    </xf>
    <xf numFmtId="1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1" fontId="5" fillId="0" borderId="9" xfId="0" applyNumberFormat="1" applyFont="1" applyBorder="1"/>
    <xf numFmtId="1" fontId="5" fillId="0" borderId="14" xfId="0" applyNumberFormat="1" applyFont="1" applyBorder="1"/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1" fontId="5" fillId="7" borderId="8" xfId="0" applyNumberFormat="1" applyFont="1" applyFill="1" applyBorder="1"/>
    <xf numFmtId="1" fontId="5" fillId="7" borderId="0" xfId="0" applyNumberFormat="1" applyFont="1" applyFill="1"/>
    <xf numFmtId="0" fontId="5" fillId="7" borderId="10" xfId="0" applyFont="1" applyFill="1" applyBorder="1"/>
    <xf numFmtId="1" fontId="6" fillId="7" borderId="4" xfId="0" applyNumberFormat="1" applyFont="1" applyFill="1" applyBorder="1"/>
    <xf numFmtId="1" fontId="6" fillId="7" borderId="7" xfId="0" applyNumberFormat="1" applyFont="1" applyFill="1" applyBorder="1"/>
    <xf numFmtId="49" fontId="15" fillId="7" borderId="4" xfId="0" applyNumberFormat="1" applyFont="1" applyFill="1" applyBorder="1"/>
    <xf numFmtId="1" fontId="15" fillId="8" borderId="9" xfId="0" applyNumberFormat="1" applyFont="1" applyFill="1" applyBorder="1"/>
    <xf numFmtId="1" fontId="6" fillId="8" borderId="14" xfId="0" applyNumberFormat="1" applyFont="1" applyFill="1" applyBorder="1"/>
    <xf numFmtId="0" fontId="6" fillId="8" borderId="1" xfId="0" applyFont="1" applyFill="1" applyBorder="1"/>
    <xf numFmtId="1" fontId="15" fillId="4" borderId="9" xfId="0" applyNumberFormat="1" applyFont="1" applyFill="1" applyBorder="1"/>
    <xf numFmtId="1" fontId="6" fillId="4" borderId="14" xfId="0" applyNumberFormat="1" applyFont="1" applyFill="1" applyBorder="1"/>
    <xf numFmtId="0" fontId="6" fillId="4" borderId="1" xfId="0" applyFont="1" applyFill="1" applyBorder="1"/>
    <xf numFmtId="1" fontId="5" fillId="2" borderId="1" xfId="0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left"/>
    </xf>
    <xf numFmtId="1" fontId="6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4" fillId="2" borderId="1" xfId="0" applyNumberFormat="1" applyFont="1" applyFill="1" applyBorder="1" applyAlignment="1">
      <alignment horizontal="left"/>
    </xf>
    <xf numFmtId="49" fontId="5" fillId="0" borderId="1" xfId="0" applyNumberFormat="1" applyFont="1" applyBorder="1"/>
    <xf numFmtId="49" fontId="2" fillId="0" borderId="10" xfId="0" applyNumberFormat="1" applyFont="1" applyBorder="1" applyAlignment="1">
      <alignment horizontal="left"/>
    </xf>
    <xf numFmtId="0" fontId="6" fillId="3" borderId="10" xfId="0" applyFont="1" applyFill="1" applyBorder="1"/>
    <xf numFmtId="3" fontId="15" fillId="9" borderId="10" xfId="0" applyNumberFormat="1" applyFont="1" applyFill="1" applyBorder="1"/>
    <xf numFmtId="3" fontId="15" fillId="2" borderId="10" xfId="0" applyNumberFormat="1" applyFont="1" applyFill="1" applyBorder="1"/>
    <xf numFmtId="3" fontId="15" fillId="10" borderId="10" xfId="0" applyNumberFormat="1" applyFont="1" applyFill="1" applyBorder="1"/>
    <xf numFmtId="0" fontId="2" fillId="0" borderId="0" xfId="0" applyFont="1" applyAlignment="1">
      <alignment horizontal="left"/>
    </xf>
    <xf numFmtId="3" fontId="8" fillId="6" borderId="0" xfId="0" applyNumberFormat="1" applyFont="1" applyFill="1"/>
    <xf numFmtId="0" fontId="4" fillId="0" borderId="10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15" fillId="9" borderId="10" xfId="0" applyFont="1" applyFill="1" applyBorder="1" applyAlignment="1">
      <alignment horizontal="center"/>
    </xf>
    <xf numFmtId="0" fontId="15" fillId="2" borderId="10" xfId="0" applyFont="1" applyFill="1" applyBorder="1" applyAlignment="1">
      <alignment horizontal="center"/>
    </xf>
    <xf numFmtId="0" fontId="15" fillId="10" borderId="10" xfId="0" applyFont="1" applyFill="1" applyBorder="1" applyAlignment="1">
      <alignment horizontal="center"/>
    </xf>
    <xf numFmtId="0" fontId="4" fillId="0" borderId="13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15" fillId="9" borderId="3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10" borderId="3" xfId="0" applyFont="1" applyFill="1" applyBorder="1" applyAlignment="1">
      <alignment horizontal="center"/>
    </xf>
    <xf numFmtId="0" fontId="4" fillId="0" borderId="13" xfId="0" applyFont="1" applyBorder="1"/>
    <xf numFmtId="0" fontId="5" fillId="0" borderId="8" xfId="0" applyFont="1" applyBorder="1" applyAlignment="1">
      <alignment horizontal="left"/>
    </xf>
    <xf numFmtId="0" fontId="4" fillId="7" borderId="0" xfId="0" applyFont="1" applyFill="1" applyAlignment="1">
      <alignment horizontal="left"/>
    </xf>
    <xf numFmtId="0" fontId="5" fillId="7" borderId="0" xfId="0" applyFont="1" applyFill="1" applyAlignment="1">
      <alignment horizontal="left"/>
    </xf>
    <xf numFmtId="0" fontId="5" fillId="7" borderId="0" xfId="0" applyFont="1" applyFill="1"/>
    <xf numFmtId="0" fontId="4" fillId="7" borderId="7" xfId="0" applyFont="1" applyFill="1" applyBorder="1" applyAlignment="1">
      <alignment horizontal="left"/>
    </xf>
    <xf numFmtId="0" fontId="5" fillId="7" borderId="7" xfId="0" applyFont="1" applyFill="1" applyBorder="1" applyAlignment="1">
      <alignment horizontal="left"/>
    </xf>
    <xf numFmtId="0" fontId="5" fillId="7" borderId="7" xfId="0" applyFont="1" applyFill="1" applyBorder="1"/>
    <xf numFmtId="3" fontId="15" fillId="9" borderId="2" xfId="0" applyNumberFormat="1" applyFont="1" applyFill="1" applyBorder="1"/>
    <xf numFmtId="3" fontId="15" fillId="2" borderId="2" xfId="0" applyNumberFormat="1" applyFont="1" applyFill="1" applyBorder="1"/>
    <xf numFmtId="3" fontId="15" fillId="10" borderId="2" xfId="0" applyNumberFormat="1" applyFont="1" applyFill="1" applyBorder="1"/>
    <xf numFmtId="0" fontId="5" fillId="8" borderId="14" xfId="0" applyFont="1" applyFill="1" applyBorder="1" applyAlignment="1">
      <alignment horizontal="left"/>
    </xf>
    <xf numFmtId="0" fontId="5" fillId="4" borderId="14" xfId="0" applyFont="1" applyFill="1" applyBorder="1" applyAlignment="1">
      <alignment horizontal="left"/>
    </xf>
    <xf numFmtId="0" fontId="5" fillId="4" borderId="11" xfId="0" applyFont="1" applyFill="1" applyBorder="1"/>
    <xf numFmtId="0" fontId="4" fillId="0" borderId="11" xfId="0" applyFont="1" applyBorder="1" applyAlignment="1">
      <alignment horizontal="left"/>
    </xf>
    <xf numFmtId="0" fontId="4" fillId="2" borderId="11" xfId="0" applyFont="1" applyFill="1" applyBorder="1" applyAlignment="1">
      <alignment horizontal="left"/>
    </xf>
    <xf numFmtId="0" fontId="5" fillId="2" borderId="1" xfId="0" applyFont="1" applyFill="1" applyBorder="1"/>
    <xf numFmtId="0" fontId="2" fillId="3" borderId="11" xfId="0" applyFont="1" applyFill="1" applyBorder="1" applyAlignment="1">
      <alignment horizontal="left"/>
    </xf>
    <xf numFmtId="165" fontId="2" fillId="0" borderId="11" xfId="0" applyNumberFormat="1" applyFont="1" applyBorder="1" applyAlignment="1">
      <alignment horizontal="left"/>
    </xf>
    <xf numFmtId="165" fontId="2" fillId="3" borderId="11" xfId="0" applyNumberFormat="1" applyFont="1" applyFill="1" applyBorder="1" applyAlignment="1">
      <alignment horizontal="left"/>
    </xf>
    <xf numFmtId="0" fontId="8" fillId="9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8" fillId="10" borderId="1" xfId="0" applyFont="1" applyFill="1" applyBorder="1" applyAlignment="1">
      <alignment horizontal="center" wrapText="1"/>
    </xf>
    <xf numFmtId="165" fontId="4" fillId="2" borderId="1" xfId="0" applyNumberFormat="1" applyFont="1" applyFill="1" applyBorder="1" applyAlignment="1">
      <alignment horizontal="left"/>
    </xf>
    <xf numFmtId="165" fontId="2" fillId="0" borderId="12" xfId="0" applyNumberFormat="1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0" xfId="0" applyFont="1" applyBorder="1"/>
    <xf numFmtId="3" fontId="8" fillId="9" borderId="10" xfId="0" applyNumberFormat="1" applyFont="1" applyFill="1" applyBorder="1"/>
    <xf numFmtId="3" fontId="8" fillId="2" borderId="10" xfId="0" applyNumberFormat="1" applyFont="1" applyFill="1" applyBorder="1"/>
    <xf numFmtId="3" fontId="8" fillId="10" borderId="10" xfId="0" applyNumberFormat="1" applyFont="1" applyFill="1" applyBorder="1"/>
    <xf numFmtId="0" fontId="17" fillId="4" borderId="5" xfId="0" applyFont="1" applyFill="1" applyBorder="1" applyAlignment="1">
      <alignment horizontal="center"/>
    </xf>
    <xf numFmtId="0" fontId="17" fillId="4" borderId="1" xfId="0" applyFont="1" applyFill="1" applyBorder="1"/>
    <xf numFmtId="3" fontId="15" fillId="9" borderId="2" xfId="0" applyNumberFormat="1" applyFont="1" applyFill="1" applyBorder="1" applyAlignment="1">
      <alignment horizontal="right"/>
    </xf>
    <xf numFmtId="3" fontId="15" fillId="10" borderId="2" xfId="0" applyNumberFormat="1" applyFont="1" applyFill="1" applyBorder="1" applyAlignment="1">
      <alignment horizontal="right"/>
    </xf>
    <xf numFmtId="3" fontId="15" fillId="9" borderId="1" xfId="1" applyNumberFormat="1" applyFont="1" applyFill="1" applyBorder="1" applyAlignment="1">
      <alignment horizontal="right" wrapText="1"/>
    </xf>
    <xf numFmtId="0" fontId="8" fillId="9" borderId="1" xfId="0" applyFont="1" applyFill="1" applyBorder="1" applyAlignment="1">
      <alignment horizontal="right" wrapText="1"/>
    </xf>
    <xf numFmtId="3" fontId="8" fillId="9" borderId="10" xfId="0" applyNumberFormat="1" applyFont="1" applyFill="1" applyBorder="1" applyAlignment="1">
      <alignment horizontal="right"/>
    </xf>
    <xf numFmtId="3" fontId="8" fillId="10" borderId="10" xfId="0" applyNumberFormat="1" applyFont="1" applyFill="1" applyBorder="1" applyAlignment="1">
      <alignment horizontal="right"/>
    </xf>
    <xf numFmtId="3" fontId="8" fillId="9" borderId="10" xfId="1" applyNumberFormat="1" applyFont="1" applyFill="1" applyBorder="1" applyAlignment="1">
      <alignment horizontal="right"/>
    </xf>
    <xf numFmtId="3" fontId="10" fillId="6" borderId="10" xfId="0" applyNumberFormat="1" applyFont="1" applyFill="1" applyBorder="1" applyAlignment="1">
      <alignment horizontal="right"/>
    </xf>
    <xf numFmtId="3" fontId="9" fillId="6" borderId="0" xfId="0" applyNumberFormat="1" applyFont="1" applyFill="1"/>
    <xf numFmtId="3" fontId="10" fillId="6" borderId="0" xfId="0" applyNumberFormat="1" applyFont="1" applyFill="1"/>
    <xf numFmtId="0" fontId="9" fillId="6" borderId="1" xfId="1" applyFont="1" applyFill="1" applyBorder="1" applyAlignment="1">
      <alignment horizontal="right"/>
    </xf>
    <xf numFmtId="3" fontId="18" fillId="6" borderId="1" xfId="1" applyNumberFormat="1" applyFont="1" applyFill="1" applyBorder="1" applyAlignment="1">
      <alignment horizontal="right"/>
    </xf>
    <xf numFmtId="3" fontId="18" fillId="6" borderId="2" xfId="0" applyNumberFormat="1" applyFont="1" applyFill="1" applyBorder="1" applyAlignment="1">
      <alignment horizontal="right"/>
    </xf>
    <xf numFmtId="3" fontId="19" fillId="6" borderId="2" xfId="0" applyNumberFormat="1" applyFont="1" applyFill="1" applyBorder="1" applyAlignment="1">
      <alignment horizontal="right"/>
    </xf>
    <xf numFmtId="0" fontId="18" fillId="6" borderId="1" xfId="1" applyFont="1" applyFill="1" applyBorder="1" applyAlignment="1">
      <alignment horizontal="right" wrapText="1"/>
    </xf>
    <xf numFmtId="3" fontId="9" fillId="0" borderId="1" xfId="1" applyNumberFormat="1" applyFont="1" applyBorder="1" applyAlignment="1">
      <alignment horizontal="right"/>
    </xf>
    <xf numFmtId="3" fontId="18" fillId="0" borderId="1" xfId="1" applyNumberFormat="1" applyFont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3" fontId="10" fillId="0" borderId="1" xfId="0" applyNumberFormat="1" applyFont="1" applyBorder="1" applyAlignment="1">
      <alignment horizontal="right"/>
    </xf>
    <xf numFmtId="3" fontId="9" fillId="6" borderId="1" xfId="1" applyNumberFormat="1" applyFont="1" applyFill="1" applyBorder="1" applyAlignment="1">
      <alignment horizontal="right"/>
    </xf>
    <xf numFmtId="0" fontId="9" fillId="6" borderId="1" xfId="1" applyFont="1" applyFill="1" applyBorder="1" applyAlignment="1">
      <alignment horizontal="right" wrapText="1"/>
    </xf>
    <xf numFmtId="0" fontId="9" fillId="6" borderId="1" xfId="0" applyFont="1" applyFill="1" applyBorder="1" applyAlignment="1">
      <alignment horizontal="right" wrapText="1"/>
    </xf>
    <xf numFmtId="0" fontId="10" fillId="6" borderId="1" xfId="0" applyFont="1" applyFill="1" applyBorder="1" applyAlignment="1">
      <alignment horizontal="right" wrapText="1"/>
    </xf>
    <xf numFmtId="3" fontId="9" fillId="6" borderId="10" xfId="1" applyNumberFormat="1" applyFont="1" applyFill="1" applyBorder="1" applyAlignment="1">
      <alignment horizontal="right"/>
    </xf>
    <xf numFmtId="3" fontId="9" fillId="6" borderId="10" xfId="0" applyNumberFormat="1" applyFont="1" applyFill="1" applyBorder="1" applyAlignment="1">
      <alignment horizontal="right"/>
    </xf>
    <xf numFmtId="0" fontId="8" fillId="10" borderId="1" xfId="0" applyFont="1" applyFill="1" applyBorder="1" applyAlignment="1">
      <alignment horizontal="right" wrapText="1"/>
    </xf>
    <xf numFmtId="0" fontId="0" fillId="6" borderId="0" xfId="0" applyFill="1"/>
    <xf numFmtId="0" fontId="9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1" fontId="15" fillId="4" borderId="1" xfId="0" applyNumberFormat="1" applyFont="1" applyFill="1" applyBorder="1" applyAlignment="1">
      <alignment horizontal="left"/>
    </xf>
    <xf numFmtId="1" fontId="6" fillId="4" borderId="1" xfId="0" applyNumberFormat="1" applyFont="1" applyFill="1" applyBorder="1" applyAlignment="1">
      <alignment horizontal="left"/>
    </xf>
    <xf numFmtId="49" fontId="2" fillId="4" borderId="1" xfId="0" applyNumberFormat="1" applyFont="1" applyFill="1" applyBorder="1" applyAlignment="1">
      <alignment horizontal="left"/>
    </xf>
    <xf numFmtId="49" fontId="4" fillId="0" borderId="1" xfId="0" applyNumberFormat="1" applyFont="1" applyBorder="1" applyAlignment="1">
      <alignment horizontal="left"/>
    </xf>
    <xf numFmtId="49" fontId="6" fillId="0" borderId="1" xfId="0" applyNumberFormat="1" applyFont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4" fillId="3" borderId="1" xfId="0" applyNumberFormat="1" applyFont="1" applyFill="1" applyBorder="1" applyAlignment="1">
      <alignment horizontal="left"/>
    </xf>
    <xf numFmtId="165" fontId="2" fillId="0" borderId="1" xfId="0" applyNumberFormat="1" applyFont="1" applyBorder="1" applyAlignment="1">
      <alignment horizontal="left"/>
    </xf>
    <xf numFmtId="165" fontId="2" fillId="3" borderId="15" xfId="0" applyNumberFormat="1" applyFont="1" applyFill="1" applyBorder="1" applyAlignment="1">
      <alignment horizontal="left"/>
    </xf>
    <xf numFmtId="0" fontId="6" fillId="3" borderId="2" xfId="0" applyFont="1" applyFill="1" applyBorder="1" applyAlignment="1">
      <alignment horizontal="left"/>
    </xf>
    <xf numFmtId="0" fontId="6" fillId="3" borderId="2" xfId="0" applyFont="1" applyFill="1" applyBorder="1"/>
    <xf numFmtId="165" fontId="2" fillId="0" borderId="14" xfId="0" applyNumberFormat="1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165" fontId="4" fillId="4" borderId="14" xfId="0" applyNumberFormat="1" applyFont="1" applyFill="1" applyBorder="1" applyAlignment="1">
      <alignment horizontal="left"/>
    </xf>
    <xf numFmtId="165" fontId="4" fillId="0" borderId="11" xfId="0" applyNumberFormat="1" applyFont="1" applyBorder="1" applyAlignment="1">
      <alignment horizontal="left"/>
    </xf>
    <xf numFmtId="165" fontId="4" fillId="2" borderId="11" xfId="0" applyNumberFormat="1" applyFont="1" applyFill="1" applyBorder="1" applyAlignment="1">
      <alignment horizontal="left"/>
    </xf>
    <xf numFmtId="0" fontId="2" fillId="0" borderId="15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8" fillId="9" borderId="2" xfId="0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0" fontId="8" fillId="10" borderId="2" xfId="0" applyFont="1" applyFill="1" applyBorder="1" applyAlignment="1">
      <alignment horizontal="center" wrapText="1"/>
    </xf>
    <xf numFmtId="165" fontId="2" fillId="0" borderId="15" xfId="0" applyNumberFormat="1" applyFont="1" applyBorder="1" applyAlignment="1">
      <alignment horizontal="left"/>
    </xf>
    <xf numFmtId="0" fontId="6" fillId="0" borderId="2" xfId="0" applyFont="1" applyBorder="1"/>
    <xf numFmtId="3" fontId="8" fillId="9" borderId="2" xfId="0" applyNumberFormat="1" applyFont="1" applyFill="1" applyBorder="1"/>
    <xf numFmtId="3" fontId="8" fillId="2" borderId="2" xfId="0" applyNumberFormat="1" applyFont="1" applyFill="1" applyBorder="1"/>
    <xf numFmtId="3" fontId="8" fillId="10" borderId="2" xfId="0" applyNumberFormat="1" applyFont="1" applyFill="1" applyBorder="1"/>
    <xf numFmtId="165" fontId="4" fillId="3" borderId="11" xfId="0" applyNumberFormat="1" applyFont="1" applyFill="1" applyBorder="1" applyAlignment="1">
      <alignment horizontal="left"/>
    </xf>
    <xf numFmtId="3" fontId="8" fillId="0" borderId="1" xfId="0" applyNumberFormat="1" applyFont="1" applyBorder="1" applyAlignment="1">
      <alignment horizontal="right" wrapText="1"/>
    </xf>
    <xf numFmtId="0" fontId="8" fillId="9" borderId="2" xfId="0" applyFont="1" applyFill="1" applyBorder="1" applyAlignment="1">
      <alignment horizontal="right" wrapText="1"/>
    </xf>
    <xf numFmtId="3" fontId="8" fillId="10" borderId="2" xfId="0" applyNumberFormat="1" applyFont="1" applyFill="1" applyBorder="1" applyAlignment="1">
      <alignment horizontal="right"/>
    </xf>
    <xf numFmtId="3" fontId="8" fillId="9" borderId="2" xfId="1" applyNumberFormat="1" applyFont="1" applyFill="1" applyBorder="1" applyAlignment="1">
      <alignment horizontal="right" wrapText="1"/>
    </xf>
    <xf numFmtId="3" fontId="8" fillId="9" borderId="2" xfId="0" applyNumberFormat="1" applyFont="1" applyFill="1" applyBorder="1" applyAlignment="1">
      <alignment horizontal="right"/>
    </xf>
    <xf numFmtId="3" fontId="8" fillId="9" borderId="2" xfId="1" applyNumberFormat="1" applyFont="1" applyFill="1" applyBorder="1" applyAlignment="1">
      <alignment horizontal="right"/>
    </xf>
    <xf numFmtId="3" fontId="8" fillId="0" borderId="1" xfId="0" applyNumberFormat="1" applyFont="1" applyBorder="1" applyAlignment="1">
      <alignment horizontal="right"/>
    </xf>
    <xf numFmtId="0" fontId="18" fillId="6" borderId="1" xfId="1" applyFont="1" applyFill="1" applyBorder="1" applyAlignment="1">
      <alignment horizontal="right"/>
    </xf>
    <xf numFmtId="3" fontId="9" fillId="6" borderId="1" xfId="1" applyNumberFormat="1" applyFont="1" applyFill="1" applyBorder="1" applyAlignment="1">
      <alignment horizontal="right" wrapText="1"/>
    </xf>
    <xf numFmtId="0" fontId="9" fillId="6" borderId="2" xfId="1" applyFont="1" applyFill="1" applyBorder="1" applyAlignment="1">
      <alignment horizontal="right" wrapText="1"/>
    </xf>
    <xf numFmtId="0" fontId="9" fillId="6" borderId="2" xfId="0" applyFont="1" applyFill="1" applyBorder="1" applyAlignment="1">
      <alignment horizontal="right" wrapText="1"/>
    </xf>
    <xf numFmtId="0" fontId="10" fillId="6" borderId="2" xfId="0" applyFont="1" applyFill="1" applyBorder="1" applyAlignment="1">
      <alignment horizontal="right" wrapText="1"/>
    </xf>
    <xf numFmtId="3" fontId="9" fillId="6" borderId="2" xfId="1" applyNumberFormat="1" applyFont="1" applyFill="1" applyBorder="1" applyAlignment="1">
      <alignment horizontal="right"/>
    </xf>
    <xf numFmtId="3" fontId="9" fillId="6" borderId="2" xfId="0" applyNumberFormat="1" applyFont="1" applyFill="1" applyBorder="1" applyAlignment="1">
      <alignment horizontal="right"/>
    </xf>
    <xf numFmtId="3" fontId="10" fillId="6" borderId="2" xfId="0" applyNumberFormat="1" applyFont="1" applyFill="1" applyBorder="1" applyAlignment="1">
      <alignment horizontal="right"/>
    </xf>
    <xf numFmtId="0" fontId="8" fillId="10" borderId="2" xfId="0" applyFont="1" applyFill="1" applyBorder="1" applyAlignment="1">
      <alignment horizontal="right" wrapText="1"/>
    </xf>
    <xf numFmtId="1" fontId="15" fillId="4" borderId="2" xfId="0" applyNumberFormat="1" applyFont="1" applyFill="1" applyBorder="1" applyAlignment="1">
      <alignment horizontal="left"/>
    </xf>
    <xf numFmtId="1" fontId="6" fillId="4" borderId="2" xfId="0" applyNumberFormat="1" applyFont="1" applyFill="1" applyBorder="1" applyAlignment="1">
      <alignment horizontal="left"/>
    </xf>
    <xf numFmtId="49" fontId="2" fillId="4" borderId="2" xfId="0" applyNumberFormat="1" applyFont="1" applyFill="1" applyBorder="1" applyAlignment="1">
      <alignment horizontal="left"/>
    </xf>
    <xf numFmtId="49" fontId="5" fillId="0" borderId="1" xfId="0" applyNumberFormat="1" applyFont="1" applyBorder="1" applyAlignment="1">
      <alignment horizontal="center"/>
    </xf>
    <xf numFmtId="1" fontId="6" fillId="8" borderId="1" xfId="0" applyNumberFormat="1" applyFont="1" applyFill="1" applyBorder="1" applyAlignment="1">
      <alignment horizontal="left"/>
    </xf>
    <xf numFmtId="49" fontId="2" fillId="8" borderId="1" xfId="0" applyNumberFormat="1" applyFont="1" applyFill="1" applyBorder="1" applyAlignment="1">
      <alignment horizontal="left"/>
    </xf>
    <xf numFmtId="1" fontId="8" fillId="3" borderId="1" xfId="0" applyNumberFormat="1" applyFont="1" applyFill="1" applyBorder="1" applyAlignment="1">
      <alignment horizontal="left"/>
    </xf>
    <xf numFmtId="165" fontId="4" fillId="4" borderId="7" xfId="0" applyNumberFormat="1" applyFont="1" applyFill="1" applyBorder="1" applyAlignment="1">
      <alignment horizontal="left"/>
    </xf>
    <xf numFmtId="0" fontId="5" fillId="4" borderId="7" xfId="0" applyFont="1" applyFill="1" applyBorder="1" applyAlignment="1">
      <alignment horizontal="left"/>
    </xf>
    <xf numFmtId="0" fontId="5" fillId="4" borderId="15" xfId="0" applyFont="1" applyFill="1" applyBorder="1"/>
    <xf numFmtId="165" fontId="4" fillId="8" borderId="14" xfId="0" applyNumberFormat="1" applyFont="1" applyFill="1" applyBorder="1" applyAlignment="1">
      <alignment horizontal="left"/>
    </xf>
    <xf numFmtId="0" fontId="8" fillId="3" borderId="1" xfId="0" applyFont="1" applyFill="1" applyBorder="1" applyAlignment="1">
      <alignment horizontal="left"/>
    </xf>
    <xf numFmtId="0" fontId="8" fillId="3" borderId="1" xfId="0" applyFont="1" applyFill="1" applyBorder="1"/>
    <xf numFmtId="49" fontId="2" fillId="8" borderId="2" xfId="0" applyNumberFormat="1" applyFont="1" applyFill="1" applyBorder="1" applyAlignment="1">
      <alignment horizontal="left"/>
    </xf>
    <xf numFmtId="165" fontId="4" fillId="4" borderId="15" xfId="0" applyNumberFormat="1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4" fillId="0" borderId="11" xfId="0" applyFont="1" applyBorder="1" applyAlignment="1">
      <alignment horizontal="center"/>
    </xf>
    <xf numFmtId="165" fontId="4" fillId="8" borderId="15" xfId="0" applyNumberFormat="1" applyFont="1" applyFill="1" applyBorder="1" applyAlignment="1">
      <alignment horizontal="left"/>
    </xf>
    <xf numFmtId="0" fontId="5" fillId="8" borderId="2" xfId="0" applyFont="1" applyFill="1" applyBorder="1" applyAlignment="1">
      <alignment horizontal="left"/>
    </xf>
    <xf numFmtId="0" fontId="5" fillId="8" borderId="2" xfId="0" applyFont="1" applyFill="1" applyBorder="1"/>
    <xf numFmtId="165" fontId="4" fillId="4" borderId="11" xfId="0" applyNumberFormat="1" applyFont="1" applyFill="1" applyBorder="1" applyAlignment="1">
      <alignment horizontal="left"/>
    </xf>
    <xf numFmtId="0" fontId="5" fillId="4" borderId="1" xfId="0" applyFont="1" applyFill="1" applyBorder="1" applyAlignment="1">
      <alignment horizontal="left"/>
    </xf>
    <xf numFmtId="165" fontId="2" fillId="2" borderId="11" xfId="0" applyNumberFormat="1" applyFont="1" applyFill="1" applyBorder="1" applyAlignment="1">
      <alignment horizontal="left"/>
    </xf>
    <xf numFmtId="0" fontId="6" fillId="0" borderId="9" xfId="0" applyFont="1" applyBorder="1"/>
    <xf numFmtId="165" fontId="4" fillId="8" borderId="11" xfId="0" applyNumberFormat="1" applyFont="1" applyFill="1" applyBorder="1" applyAlignment="1">
      <alignment horizontal="left"/>
    </xf>
    <xf numFmtId="0" fontId="5" fillId="8" borderId="1" xfId="0" applyFont="1" applyFill="1" applyBorder="1" applyAlignment="1">
      <alignment horizontal="left"/>
    </xf>
    <xf numFmtId="3" fontId="8" fillId="0" borderId="10" xfId="0" applyNumberFormat="1" applyFont="1" applyBorder="1"/>
    <xf numFmtId="0" fontId="0" fillId="11" borderId="0" xfId="0" applyFill="1" applyAlignment="1">
      <alignment horizontal="right"/>
    </xf>
    <xf numFmtId="49" fontId="4" fillId="4" borderId="1" xfId="0" applyNumberFormat="1" applyFont="1" applyFill="1" applyBorder="1" applyAlignment="1">
      <alignment horizontal="left"/>
    </xf>
    <xf numFmtId="1" fontId="6" fillId="8" borderId="2" xfId="0" applyNumberFormat="1" applyFont="1" applyFill="1" applyBorder="1" applyAlignment="1">
      <alignment horizontal="left"/>
    </xf>
    <xf numFmtId="49" fontId="2" fillId="0" borderId="1" xfId="0" applyNumberFormat="1" applyFont="1" applyBorder="1" applyAlignment="1">
      <alignment horizontal="center"/>
    </xf>
    <xf numFmtId="165" fontId="2" fillId="3" borderId="1" xfId="0" applyNumberFormat="1" applyFont="1" applyFill="1" applyBorder="1" applyAlignment="1">
      <alignment horizontal="left"/>
    </xf>
    <xf numFmtId="165" fontId="4" fillId="0" borderId="1" xfId="0" applyNumberFormat="1" applyFont="1" applyBorder="1" applyAlignment="1">
      <alignment horizontal="left"/>
    </xf>
    <xf numFmtId="0" fontId="15" fillId="9" borderId="1" xfId="0" applyFont="1" applyFill="1" applyBorder="1"/>
    <xf numFmtId="0" fontId="15" fillId="2" borderId="1" xfId="0" applyFont="1" applyFill="1" applyBorder="1"/>
    <xf numFmtId="0" fontId="15" fillId="10" borderId="1" xfId="0" applyFont="1" applyFill="1" applyBorder="1"/>
    <xf numFmtId="0" fontId="2" fillId="0" borderId="11" xfId="0" applyFont="1" applyBorder="1" applyAlignment="1">
      <alignment horizontal="left"/>
    </xf>
    <xf numFmtId="3" fontId="8" fillId="2" borderId="1" xfId="0" applyNumberFormat="1" applyFont="1" applyFill="1" applyBorder="1" applyAlignment="1">
      <alignment horizontal="right"/>
    </xf>
    <xf numFmtId="1" fontId="5" fillId="8" borderId="2" xfId="0" applyNumberFormat="1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1" fontId="6" fillId="3" borderId="1" xfId="0" applyNumberFormat="1" applyFont="1" applyFill="1" applyBorder="1"/>
    <xf numFmtId="49" fontId="2" fillId="3" borderId="1" xfId="0" applyNumberFormat="1" applyFont="1" applyFill="1" applyBorder="1"/>
    <xf numFmtId="49" fontId="4" fillId="0" borderId="1" xfId="0" applyNumberFormat="1" applyFont="1" applyBorder="1"/>
    <xf numFmtId="1" fontId="5" fillId="2" borderId="1" xfId="0" applyNumberFormat="1" applyFont="1" applyFill="1" applyBorder="1"/>
    <xf numFmtId="0" fontId="4" fillId="8" borderId="0" xfId="0" applyFont="1" applyFill="1" applyAlignment="1">
      <alignment horizontal="left"/>
    </xf>
    <xf numFmtId="0" fontId="4" fillId="4" borderId="0" xfId="0" applyFont="1" applyFill="1" applyAlignment="1">
      <alignment horizontal="left"/>
    </xf>
    <xf numFmtId="0" fontId="5" fillId="4" borderId="10" xfId="0" applyFont="1" applyFill="1" applyBorder="1" applyAlignment="1">
      <alignment horizontal="left"/>
    </xf>
    <xf numFmtId="0" fontId="5" fillId="4" borderId="10" xfId="0" applyFont="1" applyFill="1" applyBorder="1"/>
    <xf numFmtId="165" fontId="2" fillId="0" borderId="2" xfId="0" applyNumberFormat="1" applyFont="1" applyBorder="1" applyAlignment="1">
      <alignment horizontal="left"/>
    </xf>
    <xf numFmtId="165" fontId="4" fillId="4" borderId="2" xfId="0" applyNumberFormat="1" applyFont="1" applyFill="1" applyBorder="1" applyAlignment="1">
      <alignment horizontal="left"/>
    </xf>
    <xf numFmtId="0" fontId="6" fillId="4" borderId="2" xfId="0" applyFont="1" applyFill="1" applyBorder="1" applyAlignment="1">
      <alignment horizontal="left"/>
    </xf>
    <xf numFmtId="0" fontId="6" fillId="4" borderId="2" xfId="0" applyFont="1" applyFill="1" applyBorder="1"/>
    <xf numFmtId="165" fontId="4" fillId="4" borderId="1" xfId="0" applyNumberFormat="1" applyFont="1" applyFill="1" applyBorder="1" applyAlignment="1">
      <alignment horizontal="left"/>
    </xf>
    <xf numFmtId="0" fontId="6" fillId="4" borderId="1" xfId="0" applyFont="1" applyFill="1" applyBorder="1" applyAlignment="1">
      <alignment horizontal="left"/>
    </xf>
    <xf numFmtId="0" fontId="5" fillId="2" borderId="11" xfId="0" applyFont="1" applyFill="1" applyBorder="1"/>
    <xf numFmtId="0" fontId="6" fillId="4" borderId="11" xfId="0" applyFont="1" applyFill="1" applyBorder="1"/>
    <xf numFmtId="165" fontId="4" fillId="8" borderId="1" xfId="0" applyNumberFormat="1" applyFont="1" applyFill="1" applyBorder="1" applyAlignment="1">
      <alignment horizontal="left"/>
    </xf>
    <xf numFmtId="0" fontId="6" fillId="8" borderId="1" xfId="0" applyFont="1" applyFill="1" applyBorder="1" applyAlignment="1">
      <alignment horizontal="left"/>
    </xf>
    <xf numFmtId="1" fontId="5" fillId="3" borderId="1" xfId="0" applyNumberFormat="1" applyFont="1" applyFill="1" applyBorder="1"/>
    <xf numFmtId="49" fontId="4" fillId="3" borderId="1" xfId="0" applyNumberFormat="1" applyFont="1" applyFill="1" applyBorder="1"/>
    <xf numFmtId="165" fontId="4" fillId="3" borderId="1" xfId="0" applyNumberFormat="1" applyFont="1" applyFill="1" applyBorder="1" applyAlignment="1">
      <alignment horizontal="left"/>
    </xf>
    <xf numFmtId="165" fontId="4" fillId="8" borderId="2" xfId="0" applyNumberFormat="1" applyFont="1" applyFill="1" applyBorder="1" applyAlignment="1">
      <alignment horizontal="left"/>
    </xf>
    <xf numFmtId="0" fontId="6" fillId="8" borderId="2" xfId="0" applyFont="1" applyFill="1" applyBorder="1" applyAlignment="1">
      <alignment horizontal="left"/>
    </xf>
    <xf numFmtId="0" fontId="6" fillId="8" borderId="2" xfId="0" applyFont="1" applyFill="1" applyBorder="1"/>
    <xf numFmtId="3" fontId="8" fillId="9" borderId="3" xfId="0" applyNumberFormat="1" applyFont="1" applyFill="1" applyBorder="1"/>
    <xf numFmtId="3" fontId="8" fillId="2" borderId="3" xfId="0" applyNumberFormat="1" applyFont="1" applyFill="1" applyBorder="1"/>
    <xf numFmtId="3" fontId="8" fillId="10" borderId="3" xfId="0" applyNumberFormat="1" applyFont="1" applyFill="1" applyBorder="1"/>
    <xf numFmtId="3" fontId="8" fillId="0" borderId="2" xfId="0" applyNumberFormat="1" applyFont="1" applyBorder="1"/>
    <xf numFmtId="3" fontId="8" fillId="9" borderId="3" xfId="0" applyNumberFormat="1" applyFont="1" applyFill="1" applyBorder="1" applyAlignment="1">
      <alignment horizontal="right"/>
    </xf>
    <xf numFmtId="3" fontId="8" fillId="10" borderId="3" xfId="0" applyNumberFormat="1" applyFont="1" applyFill="1" applyBorder="1" applyAlignment="1">
      <alignment horizontal="right"/>
    </xf>
    <xf numFmtId="3" fontId="8" fillId="9" borderId="3" xfId="1" applyNumberFormat="1" applyFont="1" applyFill="1" applyBorder="1" applyAlignment="1">
      <alignment horizontal="right"/>
    </xf>
    <xf numFmtId="3" fontId="9" fillId="6" borderId="3" xfId="1" applyNumberFormat="1" applyFont="1" applyFill="1" applyBorder="1" applyAlignment="1">
      <alignment horizontal="right"/>
    </xf>
    <xf numFmtId="3" fontId="9" fillId="6" borderId="3" xfId="0" applyNumberFormat="1" applyFont="1" applyFill="1" applyBorder="1" applyAlignment="1">
      <alignment horizontal="right"/>
    </xf>
    <xf numFmtId="3" fontId="10" fillId="6" borderId="3" xfId="0" applyNumberFormat="1" applyFont="1" applyFill="1" applyBorder="1" applyAlignment="1">
      <alignment horizontal="right"/>
    </xf>
    <xf numFmtId="0" fontId="6" fillId="0" borderId="4" xfId="0" applyFont="1" applyBorder="1"/>
    <xf numFmtId="0" fontId="8" fillId="9" borderId="0" xfId="0" applyFont="1" applyFill="1" applyAlignment="1">
      <alignment horizontal="right"/>
    </xf>
    <xf numFmtId="0" fontId="9" fillId="6" borderId="0" xfId="0" applyFont="1" applyFill="1" applyAlignment="1">
      <alignment horizontal="right"/>
    </xf>
    <xf numFmtId="0" fontId="8" fillId="10" borderId="0" xfId="0" applyFont="1" applyFill="1" applyAlignment="1">
      <alignment horizontal="right"/>
    </xf>
    <xf numFmtId="49" fontId="2" fillId="0" borderId="3" xfId="0" applyNumberFormat="1" applyFont="1" applyBorder="1" applyAlignment="1">
      <alignment horizontal="left"/>
    </xf>
    <xf numFmtId="49" fontId="2" fillId="0" borderId="10" xfId="0" applyNumberFormat="1" applyFont="1" applyBorder="1"/>
    <xf numFmtId="0" fontId="6" fillId="0" borderId="3" xfId="0" applyFont="1" applyBorder="1" applyAlignment="1">
      <alignment horizontal="left"/>
    </xf>
    <xf numFmtId="0" fontId="6" fillId="0" borderId="3" xfId="0" applyFont="1" applyBorder="1"/>
    <xf numFmtId="0" fontId="2" fillId="0" borderId="10" xfId="0" applyFont="1" applyBorder="1" applyAlignment="1">
      <alignment horizontal="left"/>
    </xf>
    <xf numFmtId="1" fontId="5" fillId="4" borderId="1" xfId="0" applyNumberFormat="1" applyFont="1" applyFill="1" applyBorder="1"/>
    <xf numFmtId="49" fontId="4" fillId="4" borderId="1" xfId="0" applyNumberFormat="1" applyFont="1" applyFill="1" applyBorder="1"/>
    <xf numFmtId="1" fontId="6" fillId="8" borderId="11" xfId="0" applyNumberFormat="1" applyFont="1" applyFill="1" applyBorder="1"/>
    <xf numFmtId="49" fontId="2" fillId="8" borderId="1" xfId="0" applyNumberFormat="1" applyFont="1" applyFill="1" applyBorder="1"/>
    <xf numFmtId="1" fontId="15" fillId="4" borderId="1" xfId="0" applyNumberFormat="1" applyFont="1" applyFill="1" applyBorder="1"/>
    <xf numFmtId="1" fontId="6" fillId="4" borderId="1" xfId="0" applyNumberFormat="1" applyFont="1" applyFill="1" applyBorder="1"/>
    <xf numFmtId="49" fontId="2" fillId="4" borderId="1" xfId="0" applyNumberFormat="1" applyFont="1" applyFill="1" applyBorder="1"/>
    <xf numFmtId="49" fontId="2" fillId="3" borderId="10" xfId="0" applyNumberFormat="1" applyFont="1" applyFill="1" applyBorder="1"/>
    <xf numFmtId="1" fontId="5" fillId="7" borderId="5" xfId="0" applyNumberFormat="1" applyFont="1" applyFill="1" applyBorder="1"/>
    <xf numFmtId="1" fontId="5" fillId="7" borderId="6" xfId="0" applyNumberFormat="1" applyFont="1" applyFill="1" applyBorder="1"/>
    <xf numFmtId="1" fontId="5" fillId="7" borderId="12" xfId="0" applyNumberFormat="1" applyFont="1" applyFill="1" applyBorder="1"/>
    <xf numFmtId="49" fontId="4" fillId="7" borderId="3" xfId="0" applyNumberFormat="1" applyFont="1" applyFill="1" applyBorder="1"/>
    <xf numFmtId="1" fontId="6" fillId="5" borderId="4" xfId="0" applyNumberFormat="1" applyFont="1" applyFill="1" applyBorder="1"/>
    <xf numFmtId="1" fontId="6" fillId="5" borderId="7" xfId="0" applyNumberFormat="1" applyFont="1" applyFill="1" applyBorder="1"/>
    <xf numFmtId="1" fontId="6" fillId="5" borderId="15" xfId="0" applyNumberFormat="1" applyFont="1" applyFill="1" applyBorder="1"/>
    <xf numFmtId="49" fontId="3" fillId="0" borderId="1" xfId="0" applyNumberFormat="1" applyFont="1" applyBorder="1"/>
    <xf numFmtId="49" fontId="2" fillId="3" borderId="10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0" fontId="2" fillId="3" borderId="10" xfId="0" applyFont="1" applyFill="1" applyBorder="1" applyAlignment="1">
      <alignment horizontal="left"/>
    </xf>
    <xf numFmtId="0" fontId="6" fillId="3" borderId="10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left"/>
    </xf>
    <xf numFmtId="0" fontId="5" fillId="7" borderId="3" xfId="0" applyFont="1" applyFill="1" applyBorder="1" applyAlignment="1">
      <alignment horizontal="left"/>
    </xf>
    <xf numFmtId="0" fontId="5" fillId="5" borderId="3" xfId="0" applyFont="1" applyFill="1" applyBorder="1"/>
    <xf numFmtId="0" fontId="2" fillId="5" borderId="15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left"/>
    </xf>
    <xf numFmtId="0" fontId="15" fillId="5" borderId="15" xfId="0" applyFont="1" applyFill="1" applyBorder="1" applyAlignment="1">
      <alignment horizontal="left"/>
    </xf>
    <xf numFmtId="165" fontId="2" fillId="3" borderId="2" xfId="0" applyNumberFormat="1" applyFont="1" applyFill="1" applyBorder="1" applyAlignment="1">
      <alignment horizontal="left"/>
    </xf>
    <xf numFmtId="165" fontId="2" fillId="0" borderId="10" xfId="0" applyNumberFormat="1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65" fontId="2" fillId="3" borderId="10" xfId="0" applyNumberFormat="1" applyFont="1" applyFill="1" applyBorder="1" applyAlignment="1">
      <alignment horizontal="left"/>
    </xf>
    <xf numFmtId="3" fontId="15" fillId="9" borderId="10" xfId="1" applyNumberFormat="1" applyFont="1" applyFill="1" applyBorder="1" applyAlignment="1">
      <alignment horizontal="right"/>
    </xf>
    <xf numFmtId="3" fontId="18" fillId="6" borderId="10" xfId="1" applyNumberFormat="1" applyFont="1" applyFill="1" applyBorder="1" applyAlignment="1">
      <alignment horizontal="right"/>
    </xf>
    <xf numFmtId="0" fontId="1" fillId="0" borderId="0" xfId="0" applyFont="1" applyAlignment="1">
      <alignment horizontal="right"/>
    </xf>
    <xf numFmtId="49" fontId="6" fillId="0" borderId="1" xfId="0" applyNumberFormat="1" applyFont="1" applyBorder="1"/>
    <xf numFmtId="49" fontId="6" fillId="3" borderId="1" xfId="0" applyNumberFormat="1" applyFont="1" applyFill="1" applyBorder="1"/>
    <xf numFmtId="49" fontId="4" fillId="7" borderId="10" xfId="0" applyNumberFormat="1" applyFont="1" applyFill="1" applyBorder="1"/>
    <xf numFmtId="1" fontId="5" fillId="5" borderId="4" xfId="0" applyNumberFormat="1" applyFont="1" applyFill="1" applyBorder="1"/>
    <xf numFmtId="1" fontId="5" fillId="5" borderId="7" xfId="0" applyNumberFormat="1" applyFont="1" applyFill="1" applyBorder="1"/>
    <xf numFmtId="1" fontId="5" fillId="5" borderId="15" xfId="0" applyNumberFormat="1" applyFont="1" applyFill="1" applyBorder="1"/>
    <xf numFmtId="1" fontId="15" fillId="8" borderId="9" xfId="0" applyNumberFormat="1" applyFont="1" applyFill="1" applyBorder="1" applyAlignment="1">
      <alignment horizontal="left"/>
    </xf>
    <xf numFmtId="1" fontId="6" fillId="8" borderId="14" xfId="0" applyNumberFormat="1" applyFont="1" applyFill="1" applyBorder="1" applyAlignment="1">
      <alignment horizontal="left"/>
    </xf>
    <xf numFmtId="1" fontId="6" fillId="8" borderId="11" xfId="0" applyNumberFormat="1" applyFont="1" applyFill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4" fillId="7" borderId="10" xfId="0" applyFont="1" applyFill="1" applyBorder="1" applyAlignment="1">
      <alignment horizontal="left"/>
    </xf>
    <xf numFmtId="0" fontId="5" fillId="7" borderId="10" xfId="0" applyFont="1" applyFill="1" applyBorder="1" applyAlignment="1">
      <alignment horizontal="left"/>
    </xf>
    <xf numFmtId="0" fontId="4" fillId="5" borderId="15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left"/>
    </xf>
    <xf numFmtId="49" fontId="5" fillId="5" borderId="15" xfId="0" applyNumberFormat="1" applyFont="1" applyFill="1" applyBorder="1"/>
    <xf numFmtId="3" fontId="15" fillId="9" borderId="2" xfId="1" applyNumberFormat="1" applyFont="1" applyFill="1" applyBorder="1" applyAlignment="1">
      <alignment horizontal="right"/>
    </xf>
    <xf numFmtId="3" fontId="18" fillId="6" borderId="2" xfId="1" applyNumberFormat="1" applyFont="1" applyFill="1" applyBorder="1" applyAlignment="1">
      <alignment horizontal="right"/>
    </xf>
    <xf numFmtId="1" fontId="5" fillId="2" borderId="2" xfId="0" applyNumberFormat="1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left"/>
    </xf>
    <xf numFmtId="1" fontId="15" fillId="8" borderId="1" xfId="0" applyNumberFormat="1" applyFont="1" applyFill="1" applyBorder="1" applyAlignment="1">
      <alignment horizontal="left"/>
    </xf>
    <xf numFmtId="49" fontId="4" fillId="0" borderId="2" xfId="0" applyNumberFormat="1" applyFont="1" applyBorder="1" applyAlignment="1">
      <alignment horizontal="left"/>
    </xf>
    <xf numFmtId="165" fontId="4" fillId="2" borderId="2" xfId="0" applyNumberFormat="1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2" borderId="2" xfId="0" applyFont="1" applyFill="1" applyBorder="1"/>
    <xf numFmtId="0" fontId="4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5" fillId="9" borderId="2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5" fillId="10" borderId="2" xfId="0" applyFont="1" applyFill="1" applyBorder="1" applyAlignment="1">
      <alignment horizontal="center"/>
    </xf>
    <xf numFmtId="0" fontId="15" fillId="9" borderId="2" xfId="0" applyFont="1" applyFill="1" applyBorder="1" applyAlignment="1">
      <alignment horizontal="right"/>
    </xf>
    <xf numFmtId="0" fontId="15" fillId="10" borderId="2" xfId="0" applyFont="1" applyFill="1" applyBorder="1" applyAlignment="1">
      <alignment horizontal="right"/>
    </xf>
    <xf numFmtId="0" fontId="18" fillId="6" borderId="2" xfId="1" applyFont="1" applyFill="1" applyBorder="1" applyAlignment="1">
      <alignment horizontal="right"/>
    </xf>
    <xf numFmtId="0" fontId="18" fillId="6" borderId="2" xfId="0" applyFont="1" applyFill="1" applyBorder="1" applyAlignment="1">
      <alignment horizontal="right"/>
    </xf>
    <xf numFmtId="0" fontId="19" fillId="6" borderId="2" xfId="0" applyFont="1" applyFill="1" applyBorder="1" applyAlignment="1">
      <alignment horizontal="right"/>
    </xf>
    <xf numFmtId="1" fontId="6" fillId="6" borderId="1" xfId="0" applyNumberFormat="1" applyFont="1" applyFill="1" applyBorder="1"/>
    <xf numFmtId="49" fontId="2" fillId="6" borderId="1" xfId="0" applyNumberFormat="1" applyFont="1" applyFill="1" applyBorder="1" applyAlignment="1">
      <alignment horizontal="left"/>
    </xf>
    <xf numFmtId="49" fontId="5" fillId="0" borderId="1" xfId="0" applyNumberFormat="1" applyFont="1" applyBorder="1" applyAlignment="1">
      <alignment horizontal="left"/>
    </xf>
    <xf numFmtId="165" fontId="2" fillId="6" borderId="1" xfId="0" applyNumberFormat="1" applyFont="1" applyFill="1" applyBorder="1" applyAlignment="1">
      <alignment horizontal="left"/>
    </xf>
    <xf numFmtId="0" fontId="6" fillId="6" borderId="1" xfId="0" applyFont="1" applyFill="1" applyBorder="1" applyAlignment="1">
      <alignment horizontal="left"/>
    </xf>
    <xf numFmtId="0" fontId="6" fillId="6" borderId="1" xfId="0" applyFont="1" applyFill="1" applyBorder="1"/>
    <xf numFmtId="0" fontId="15" fillId="0" borderId="1" xfId="0" applyFont="1" applyBorder="1" applyAlignment="1">
      <alignment horizontal="left"/>
    </xf>
    <xf numFmtId="49" fontId="6" fillId="0" borderId="0" xfId="0" applyNumberFormat="1" applyFont="1"/>
    <xf numFmtId="0" fontId="8" fillId="0" borderId="0" xfId="0" applyFont="1" applyAlignment="1">
      <alignment horizontal="left"/>
    </xf>
    <xf numFmtId="1" fontId="8" fillId="0" borderId="0" xfId="0" applyNumberFormat="1" applyFont="1"/>
    <xf numFmtId="165" fontId="2" fillId="0" borderId="0" xfId="0" applyNumberFormat="1" applyFont="1" applyAlignment="1">
      <alignment horizontal="left"/>
    </xf>
    <xf numFmtId="3" fontId="8" fillId="0" borderId="0" xfId="0" applyNumberFormat="1" applyFont="1"/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/>
    <xf numFmtId="0" fontId="24" fillId="0" borderId="0" xfId="0" applyFont="1" applyAlignment="1">
      <alignment horizontal="center"/>
    </xf>
    <xf numFmtId="0" fontId="3" fillId="0" borderId="0" xfId="0" applyFont="1"/>
    <xf numFmtId="49" fontId="4" fillId="0" borderId="0" xfId="0" applyNumberFormat="1" applyFont="1"/>
    <xf numFmtId="3" fontId="25" fillId="0" borderId="0" xfId="0" applyNumberFormat="1" applyFont="1"/>
    <xf numFmtId="3" fontId="2" fillId="0" borderId="0" xfId="0" applyNumberFormat="1" applyFont="1"/>
    <xf numFmtId="3" fontId="3" fillId="0" borderId="0" xfId="0" applyNumberFormat="1" applyFont="1"/>
    <xf numFmtId="3" fontId="10" fillId="6" borderId="0" xfId="0" applyNumberFormat="1" applyFont="1" applyFill="1" applyAlignment="1">
      <alignment horizontal="right"/>
    </xf>
    <xf numFmtId="3" fontId="9" fillId="6" borderId="0" xfId="0" applyNumberFormat="1" applyFont="1" applyFill="1" applyAlignment="1">
      <alignment horizontal="right"/>
    </xf>
    <xf numFmtId="3" fontId="8" fillId="0" borderId="0" xfId="0" applyNumberFormat="1" applyFont="1" applyAlignment="1">
      <alignment horizontal="right"/>
    </xf>
    <xf numFmtId="0" fontId="6" fillId="0" borderId="1" xfId="0" quotePrefix="1" applyFont="1" applyBorder="1"/>
    <xf numFmtId="0" fontId="6" fillId="0" borderId="11" xfId="0" quotePrefix="1" applyFont="1" applyBorder="1"/>
    <xf numFmtId="49" fontId="6" fillId="0" borderId="1" xfId="0" applyNumberFormat="1" applyFont="1" applyBorder="1" applyAlignment="1">
      <alignment horizontal="left"/>
    </xf>
    <xf numFmtId="1" fontId="6" fillId="0" borderId="12" xfId="0" applyNumberFormat="1" applyFont="1" applyBorder="1" applyAlignment="1">
      <alignment horizontal="left"/>
    </xf>
    <xf numFmtId="1" fontId="6" fillId="0" borderId="10" xfId="0" applyNumberFormat="1" applyFont="1" applyBorder="1" applyAlignment="1">
      <alignment horizontal="left"/>
    </xf>
    <xf numFmtId="3" fontId="15" fillId="10" borderId="5" xfId="0" applyNumberFormat="1" applyFont="1" applyFill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0" fontId="33" fillId="0" borderId="0" xfId="0" applyFont="1"/>
    <xf numFmtId="0" fontId="34" fillId="6" borderId="0" xfId="0" applyFont="1" applyFill="1"/>
    <xf numFmtId="1" fontId="5" fillId="0" borderId="0" xfId="0" applyNumberFormat="1" applyFont="1" applyBorder="1"/>
    <xf numFmtId="0" fontId="4" fillId="0" borderId="0" xfId="0" applyFont="1" applyBorder="1"/>
    <xf numFmtId="0" fontId="5" fillId="0" borderId="0" xfId="0" applyFont="1" applyBorder="1"/>
    <xf numFmtId="0" fontId="14" fillId="0" borderId="0" xfId="0" applyFont="1" applyBorder="1"/>
    <xf numFmtId="0" fontId="15" fillId="0" borderId="0" xfId="0" applyFont="1" applyBorder="1"/>
    <xf numFmtId="0" fontId="16" fillId="0" borderId="0" xfId="0" applyFont="1" applyBorder="1"/>
    <xf numFmtId="0" fontId="15" fillId="6" borderId="0" xfId="0" applyFont="1" applyFill="1" applyBorder="1"/>
    <xf numFmtId="3" fontId="15" fillId="6" borderId="0" xfId="0" applyNumberFormat="1" applyFont="1" applyFill="1" applyBorder="1" applyAlignment="1">
      <alignment horizontal="right"/>
    </xf>
    <xf numFmtId="0" fontId="18" fillId="6" borderId="0" xfId="0" applyFont="1" applyFill="1" applyBorder="1"/>
    <xf numFmtId="0" fontId="19" fillId="6" borderId="0" xfId="0" applyFont="1" applyFill="1" applyBorder="1"/>
    <xf numFmtId="0" fontId="0" fillId="0" borderId="0" xfId="0" applyBorder="1"/>
    <xf numFmtId="0" fontId="7" fillId="0" borderId="0" xfId="0" applyFont="1" applyBorder="1"/>
    <xf numFmtId="0" fontId="9" fillId="0" borderId="0" xfId="0" applyFont="1" applyBorder="1"/>
    <xf numFmtId="0" fontId="12" fillId="0" borderId="0" xfId="0" applyFont="1" applyBorder="1"/>
    <xf numFmtId="0" fontId="11" fillId="0" borderId="0" xfId="0" applyFont="1" applyBorder="1"/>
    <xf numFmtId="0" fontId="1" fillId="0" borderId="0" xfId="0" applyFont="1" applyBorder="1"/>
    <xf numFmtId="0" fontId="13" fillId="0" borderId="0" xfId="0" applyFont="1" applyBorder="1"/>
    <xf numFmtId="0" fontId="18" fillId="0" borderId="0" xfId="0" applyFont="1" applyBorder="1"/>
    <xf numFmtId="1" fontId="6" fillId="0" borderId="0" xfId="0" applyNumberFormat="1" applyFont="1" applyBorder="1"/>
    <xf numFmtId="0" fontId="6" fillId="0" borderId="0" xfId="0" applyFont="1" applyBorder="1"/>
    <xf numFmtId="0" fontId="2" fillId="0" borderId="0" xfId="0" applyFont="1" applyBorder="1"/>
    <xf numFmtId="0" fontId="8" fillId="0" borderId="0" xfId="0" applyFont="1" applyBorder="1"/>
    <xf numFmtId="0" fontId="8" fillId="6" borderId="0" xfId="0" applyFont="1" applyFill="1" applyBorder="1"/>
    <xf numFmtId="3" fontId="8" fillId="6" borderId="0" xfId="0" applyNumberFormat="1" applyFont="1" applyFill="1" applyBorder="1" applyAlignment="1">
      <alignment horizontal="right"/>
    </xf>
    <xf numFmtId="0" fontId="9" fillId="6" borderId="0" xfId="0" applyFont="1" applyFill="1" applyBorder="1"/>
    <xf numFmtId="0" fontId="10" fillId="6" borderId="0" xfId="0" applyFont="1" applyFill="1" applyBorder="1"/>
    <xf numFmtId="0" fontId="17" fillId="4" borderId="0" xfId="0" applyFont="1" applyFill="1" applyBorder="1" applyAlignment="1">
      <alignment horizontal="center"/>
    </xf>
    <xf numFmtId="1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9" fillId="0" borderId="9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20" fillId="0" borderId="10" xfId="0" applyFont="1" applyBorder="1" applyAlignment="1">
      <alignment horizontal="center" wrapText="1"/>
    </xf>
    <xf numFmtId="0" fontId="20" fillId="0" borderId="2" xfId="0" applyFont="1" applyBorder="1" applyAlignment="1">
      <alignment horizontal="center" wrapText="1"/>
    </xf>
    <xf numFmtId="0" fontId="20" fillId="0" borderId="12" xfId="0" applyFont="1" applyBorder="1" applyAlignment="1">
      <alignment horizontal="center" wrapText="1"/>
    </xf>
    <xf numFmtId="0" fontId="20" fillId="0" borderId="15" xfId="0" applyFont="1" applyBorder="1" applyAlignment="1">
      <alignment horizontal="center" wrapText="1"/>
    </xf>
    <xf numFmtId="0" fontId="18" fillId="0" borderId="9" xfId="0" applyFont="1" applyBorder="1" applyAlignment="1">
      <alignment horizontal="center" wrapText="1"/>
    </xf>
    <xf numFmtId="0" fontId="18" fillId="0" borderId="14" xfId="0" applyFont="1" applyBorder="1" applyAlignment="1">
      <alignment horizontal="center" wrapText="1"/>
    </xf>
    <xf numFmtId="0" fontId="18" fillId="0" borderId="11" xfId="0" applyFont="1" applyBorder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0" fontId="18" fillId="0" borderId="2" xfId="0" applyFont="1" applyBorder="1" applyAlignment="1">
      <alignment horizontal="center" wrapText="1"/>
    </xf>
    <xf numFmtId="49" fontId="18" fillId="0" borderId="10" xfId="0" applyNumberFormat="1" applyFont="1" applyBorder="1" applyAlignment="1">
      <alignment horizontal="center" wrapText="1"/>
    </xf>
    <xf numFmtId="49" fontId="18" fillId="0" borderId="2" xfId="0" applyNumberFormat="1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</cellXfs>
  <cellStyles count="2">
    <cellStyle name="Normal" xfId="0" builtinId="0"/>
    <cellStyle name="Normal 2" xfId="1"/>
  </cellStyles>
  <dxfs count="43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solid">
          <fgColor indexed="64"/>
          <bgColor indexed="31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scheme val="none"/>
      </font>
      <numFmt numFmtId="3" formatCode="#,##0"/>
      <alignment horizontal="righ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solid">
          <fgColor indexed="64"/>
          <bgColor indexed="41"/>
        </patternFill>
      </fill>
      <alignment horizontal="righ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 Narrow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 Narrow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 Narrow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 Narrow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 Narrow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 Narrow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solid">
          <fgColor indexed="64"/>
          <bgColor indexed="43"/>
        </patternFill>
      </fill>
      <alignment horizontal="righ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solid">
          <fgColor indexed="64"/>
          <bgColor indexed="42"/>
        </patternFill>
      </fill>
      <alignment horizontal="righ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solid">
          <fgColor indexed="64"/>
          <bgColor indexed="42"/>
        </patternFill>
      </fill>
      <alignment horizontal="righ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solid">
          <fgColor indexed="64"/>
          <bgColor indexed="41"/>
        </patternFill>
      </fill>
      <alignment horizontal="righ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solid">
          <fgColor indexed="64"/>
          <bgColor indexed="41"/>
        </patternFill>
      </fill>
      <alignment horizontal="righ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solid">
          <fgColor indexed="64"/>
          <bgColor indexed="41"/>
        </patternFill>
      </fill>
      <alignment horizontal="righ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solid">
          <fgColor indexed="64"/>
          <bgColor indexed="43"/>
        </patternFill>
      </fill>
      <alignment horizontal="righ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solid">
          <fgColor indexed="64"/>
          <bgColor indexed="4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solid">
          <fgColor indexed="64"/>
          <bgColor indexed="4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solid">
          <fgColor indexed="64"/>
          <bgColor indexed="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solid">
          <fgColor indexed="64"/>
          <bgColor indexed="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solid">
          <fgColor indexed="64"/>
          <bgColor indexed="43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solid">
          <fgColor indexed="64"/>
          <bgColor indexed="43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bottom" textRotation="0" wrapText="0" indent="0" relativeIndent="0" justifyLastLine="0" shrinkToFit="0" mergeCell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scheme val="none"/>
      </font>
      <alignment horizontal="left" vertical="bottom" textRotation="0" wrapText="0" indent="0" relativeIndent="0" justifyLastLine="0" shrinkToFit="0" mergeCell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scheme val="none"/>
      </font>
      <alignment horizontal="lef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" formatCode="0"/>
      <alignment horizontal="lef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" formatCode="0"/>
      <alignment horizontal="lef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" formatCode="0"/>
      <alignment horizontal="lef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" formatCode="0"/>
      <alignment horizontal="lef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" formatCode="0"/>
      <alignment horizontal="lef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" formatCode="0"/>
      <alignment horizontal="lef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" formatCode="0"/>
      <alignment horizontal="left" vertical="bottom" textRotation="0" wrapText="0" indent="0" relativeIndent="0" justifyLastLine="0" shrinkToFit="0" mergeCell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1227</xdr:row>
      <xdr:rowOff>0</xdr:rowOff>
    </xdr:from>
    <xdr:to>
      <xdr:col>10</xdr:col>
      <xdr:colOff>0</xdr:colOff>
      <xdr:row>1230</xdr:row>
      <xdr:rowOff>95250</xdr:rowOff>
    </xdr:to>
    <xdr:pic>
      <xdr:nvPicPr>
        <xdr:cNvPr id="2385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09875" y="1865376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1233</xdr:row>
      <xdr:rowOff>76200</xdr:rowOff>
    </xdr:from>
    <xdr:to>
      <xdr:col>10</xdr:col>
      <xdr:colOff>0</xdr:colOff>
      <xdr:row>1236</xdr:row>
      <xdr:rowOff>0</xdr:rowOff>
    </xdr:to>
    <xdr:pic>
      <xdr:nvPicPr>
        <xdr:cNvPr id="2385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09875" y="1875282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1223</xdr:row>
      <xdr:rowOff>0</xdr:rowOff>
    </xdr:from>
    <xdr:to>
      <xdr:col>11</xdr:col>
      <xdr:colOff>0</xdr:colOff>
      <xdr:row>1226</xdr:row>
      <xdr:rowOff>95250</xdr:rowOff>
    </xdr:to>
    <xdr:pic>
      <xdr:nvPicPr>
        <xdr:cNvPr id="23853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86325" y="1859280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47625</xdr:rowOff>
    </xdr:from>
    <xdr:to>
      <xdr:col>11</xdr:col>
      <xdr:colOff>0</xdr:colOff>
      <xdr:row>1233</xdr:row>
      <xdr:rowOff>114300</xdr:rowOff>
    </xdr:to>
    <xdr:pic>
      <xdr:nvPicPr>
        <xdr:cNvPr id="23854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8900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1223</xdr:row>
      <xdr:rowOff>0</xdr:rowOff>
    </xdr:from>
    <xdr:to>
      <xdr:col>11</xdr:col>
      <xdr:colOff>0</xdr:colOff>
      <xdr:row>1226</xdr:row>
      <xdr:rowOff>95250</xdr:rowOff>
    </xdr:to>
    <xdr:pic>
      <xdr:nvPicPr>
        <xdr:cNvPr id="23855" name="Picture 6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86325" y="1859280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47625</xdr:rowOff>
    </xdr:from>
    <xdr:to>
      <xdr:col>11</xdr:col>
      <xdr:colOff>0</xdr:colOff>
      <xdr:row>1233</xdr:row>
      <xdr:rowOff>114300</xdr:rowOff>
    </xdr:to>
    <xdr:pic>
      <xdr:nvPicPr>
        <xdr:cNvPr id="23856" name="Picture 6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8900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1224</xdr:row>
      <xdr:rowOff>0</xdr:rowOff>
    </xdr:from>
    <xdr:to>
      <xdr:col>11</xdr:col>
      <xdr:colOff>0</xdr:colOff>
      <xdr:row>1227</xdr:row>
      <xdr:rowOff>95250</xdr:rowOff>
    </xdr:to>
    <xdr:pic>
      <xdr:nvPicPr>
        <xdr:cNvPr id="23857" name="Picture 17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86325" y="1860804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0</xdr:rowOff>
    </xdr:from>
    <xdr:to>
      <xdr:col>11</xdr:col>
      <xdr:colOff>0</xdr:colOff>
      <xdr:row>1230</xdr:row>
      <xdr:rowOff>114300</xdr:rowOff>
    </xdr:to>
    <xdr:pic>
      <xdr:nvPicPr>
        <xdr:cNvPr id="23858" name="Picture 17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8424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1224</xdr:row>
      <xdr:rowOff>0</xdr:rowOff>
    </xdr:from>
    <xdr:to>
      <xdr:col>11</xdr:col>
      <xdr:colOff>0</xdr:colOff>
      <xdr:row>1227</xdr:row>
      <xdr:rowOff>95250</xdr:rowOff>
    </xdr:to>
    <xdr:pic>
      <xdr:nvPicPr>
        <xdr:cNvPr id="23859" name="Picture 17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86325" y="1860804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0</xdr:rowOff>
    </xdr:from>
    <xdr:to>
      <xdr:col>11</xdr:col>
      <xdr:colOff>0</xdr:colOff>
      <xdr:row>1230</xdr:row>
      <xdr:rowOff>114300</xdr:rowOff>
    </xdr:to>
    <xdr:pic>
      <xdr:nvPicPr>
        <xdr:cNvPr id="23860" name="Picture 17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8424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1224</xdr:row>
      <xdr:rowOff>0</xdr:rowOff>
    </xdr:from>
    <xdr:to>
      <xdr:col>11</xdr:col>
      <xdr:colOff>0</xdr:colOff>
      <xdr:row>1227</xdr:row>
      <xdr:rowOff>95250</xdr:rowOff>
    </xdr:to>
    <xdr:pic>
      <xdr:nvPicPr>
        <xdr:cNvPr id="23861" name="Picture 17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86325" y="1860804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1230</xdr:row>
      <xdr:rowOff>47625</xdr:rowOff>
    </xdr:from>
    <xdr:to>
      <xdr:col>11</xdr:col>
      <xdr:colOff>0</xdr:colOff>
      <xdr:row>1234</xdr:row>
      <xdr:rowOff>114300</xdr:rowOff>
    </xdr:to>
    <xdr:pic>
      <xdr:nvPicPr>
        <xdr:cNvPr id="23862" name="Picture 17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70424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1222</xdr:row>
      <xdr:rowOff>0</xdr:rowOff>
    </xdr:from>
    <xdr:to>
      <xdr:col>11</xdr:col>
      <xdr:colOff>0</xdr:colOff>
      <xdr:row>1225</xdr:row>
      <xdr:rowOff>95250</xdr:rowOff>
    </xdr:to>
    <xdr:pic>
      <xdr:nvPicPr>
        <xdr:cNvPr id="23863" name="Picture 36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86325" y="1857756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1228</xdr:row>
      <xdr:rowOff>47625</xdr:rowOff>
    </xdr:from>
    <xdr:to>
      <xdr:col>11</xdr:col>
      <xdr:colOff>0</xdr:colOff>
      <xdr:row>1232</xdr:row>
      <xdr:rowOff>114300</xdr:rowOff>
    </xdr:to>
    <xdr:pic>
      <xdr:nvPicPr>
        <xdr:cNvPr id="23864" name="Picture 36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7376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1222</xdr:row>
      <xdr:rowOff>0</xdr:rowOff>
    </xdr:from>
    <xdr:to>
      <xdr:col>11</xdr:col>
      <xdr:colOff>0</xdr:colOff>
      <xdr:row>1225</xdr:row>
      <xdr:rowOff>95250</xdr:rowOff>
    </xdr:to>
    <xdr:pic>
      <xdr:nvPicPr>
        <xdr:cNvPr id="23865" name="Picture 36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86325" y="1857756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1228</xdr:row>
      <xdr:rowOff>47625</xdr:rowOff>
    </xdr:from>
    <xdr:to>
      <xdr:col>11</xdr:col>
      <xdr:colOff>0</xdr:colOff>
      <xdr:row>1232</xdr:row>
      <xdr:rowOff>114300</xdr:rowOff>
    </xdr:to>
    <xdr:pic>
      <xdr:nvPicPr>
        <xdr:cNvPr id="23866" name="Picture 36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7376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1223</xdr:row>
      <xdr:rowOff>0</xdr:rowOff>
    </xdr:from>
    <xdr:to>
      <xdr:col>11</xdr:col>
      <xdr:colOff>0</xdr:colOff>
      <xdr:row>1226</xdr:row>
      <xdr:rowOff>95250</xdr:rowOff>
    </xdr:to>
    <xdr:pic>
      <xdr:nvPicPr>
        <xdr:cNvPr id="23867" name="Picture 36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86325" y="1859280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1228</xdr:row>
      <xdr:rowOff>0</xdr:rowOff>
    </xdr:from>
    <xdr:to>
      <xdr:col>11</xdr:col>
      <xdr:colOff>0</xdr:colOff>
      <xdr:row>1229</xdr:row>
      <xdr:rowOff>114300</xdr:rowOff>
    </xdr:to>
    <xdr:pic>
      <xdr:nvPicPr>
        <xdr:cNvPr id="23868" name="Picture 36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6900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1223</xdr:row>
      <xdr:rowOff>0</xdr:rowOff>
    </xdr:from>
    <xdr:to>
      <xdr:col>11</xdr:col>
      <xdr:colOff>0</xdr:colOff>
      <xdr:row>1226</xdr:row>
      <xdr:rowOff>95250</xdr:rowOff>
    </xdr:to>
    <xdr:pic>
      <xdr:nvPicPr>
        <xdr:cNvPr id="23869" name="Picture 37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86325" y="1859280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1228</xdr:row>
      <xdr:rowOff>0</xdr:rowOff>
    </xdr:from>
    <xdr:to>
      <xdr:col>11</xdr:col>
      <xdr:colOff>0</xdr:colOff>
      <xdr:row>1229</xdr:row>
      <xdr:rowOff>114300</xdr:rowOff>
    </xdr:to>
    <xdr:pic>
      <xdr:nvPicPr>
        <xdr:cNvPr id="23870" name="Picture 37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6900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1223</xdr:row>
      <xdr:rowOff>0</xdr:rowOff>
    </xdr:from>
    <xdr:to>
      <xdr:col>11</xdr:col>
      <xdr:colOff>0</xdr:colOff>
      <xdr:row>1226</xdr:row>
      <xdr:rowOff>95250</xdr:rowOff>
    </xdr:to>
    <xdr:pic>
      <xdr:nvPicPr>
        <xdr:cNvPr id="23871" name="Picture 37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86325" y="1859280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47625</xdr:rowOff>
    </xdr:from>
    <xdr:to>
      <xdr:col>11</xdr:col>
      <xdr:colOff>0</xdr:colOff>
      <xdr:row>1233</xdr:row>
      <xdr:rowOff>114300</xdr:rowOff>
    </xdr:to>
    <xdr:pic>
      <xdr:nvPicPr>
        <xdr:cNvPr id="23872" name="Picture 37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8900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1221</xdr:row>
      <xdr:rowOff>0</xdr:rowOff>
    </xdr:from>
    <xdr:to>
      <xdr:col>11</xdr:col>
      <xdr:colOff>0</xdr:colOff>
      <xdr:row>1224</xdr:row>
      <xdr:rowOff>95250</xdr:rowOff>
    </xdr:to>
    <xdr:pic>
      <xdr:nvPicPr>
        <xdr:cNvPr id="23873" name="Picture 37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86325" y="1856232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1227</xdr:row>
      <xdr:rowOff>47625</xdr:rowOff>
    </xdr:from>
    <xdr:to>
      <xdr:col>11</xdr:col>
      <xdr:colOff>0</xdr:colOff>
      <xdr:row>1231</xdr:row>
      <xdr:rowOff>114300</xdr:rowOff>
    </xdr:to>
    <xdr:pic>
      <xdr:nvPicPr>
        <xdr:cNvPr id="23874" name="Picture 37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5852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1221</xdr:row>
      <xdr:rowOff>0</xdr:rowOff>
    </xdr:from>
    <xdr:to>
      <xdr:col>11</xdr:col>
      <xdr:colOff>0</xdr:colOff>
      <xdr:row>1224</xdr:row>
      <xdr:rowOff>95250</xdr:rowOff>
    </xdr:to>
    <xdr:pic>
      <xdr:nvPicPr>
        <xdr:cNvPr id="23875" name="Picture 37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86325" y="1856232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1227</xdr:row>
      <xdr:rowOff>47625</xdr:rowOff>
    </xdr:from>
    <xdr:to>
      <xdr:col>11</xdr:col>
      <xdr:colOff>0</xdr:colOff>
      <xdr:row>1231</xdr:row>
      <xdr:rowOff>114300</xdr:rowOff>
    </xdr:to>
    <xdr:pic>
      <xdr:nvPicPr>
        <xdr:cNvPr id="23876" name="Picture 37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5852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1222</xdr:row>
      <xdr:rowOff>0</xdr:rowOff>
    </xdr:from>
    <xdr:to>
      <xdr:col>11</xdr:col>
      <xdr:colOff>0</xdr:colOff>
      <xdr:row>1225</xdr:row>
      <xdr:rowOff>95250</xdr:rowOff>
    </xdr:to>
    <xdr:pic>
      <xdr:nvPicPr>
        <xdr:cNvPr id="23877" name="Picture 37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86325" y="1857756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1227</xdr:row>
      <xdr:rowOff>0</xdr:rowOff>
    </xdr:from>
    <xdr:to>
      <xdr:col>11</xdr:col>
      <xdr:colOff>0</xdr:colOff>
      <xdr:row>1228</xdr:row>
      <xdr:rowOff>114300</xdr:rowOff>
    </xdr:to>
    <xdr:pic>
      <xdr:nvPicPr>
        <xdr:cNvPr id="23878" name="Picture 37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5376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1222</xdr:row>
      <xdr:rowOff>0</xdr:rowOff>
    </xdr:from>
    <xdr:to>
      <xdr:col>11</xdr:col>
      <xdr:colOff>0</xdr:colOff>
      <xdr:row>1225</xdr:row>
      <xdr:rowOff>95250</xdr:rowOff>
    </xdr:to>
    <xdr:pic>
      <xdr:nvPicPr>
        <xdr:cNvPr id="23879" name="Picture 38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86325" y="1857756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1227</xdr:row>
      <xdr:rowOff>0</xdr:rowOff>
    </xdr:from>
    <xdr:to>
      <xdr:col>11</xdr:col>
      <xdr:colOff>0</xdr:colOff>
      <xdr:row>1228</xdr:row>
      <xdr:rowOff>114300</xdr:rowOff>
    </xdr:to>
    <xdr:pic>
      <xdr:nvPicPr>
        <xdr:cNvPr id="23880" name="Picture 38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5376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1222</xdr:row>
      <xdr:rowOff>0</xdr:rowOff>
    </xdr:from>
    <xdr:to>
      <xdr:col>11</xdr:col>
      <xdr:colOff>0</xdr:colOff>
      <xdr:row>1225</xdr:row>
      <xdr:rowOff>95250</xdr:rowOff>
    </xdr:to>
    <xdr:pic>
      <xdr:nvPicPr>
        <xdr:cNvPr id="23881" name="Picture 38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86325" y="1857756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1228</xdr:row>
      <xdr:rowOff>47625</xdr:rowOff>
    </xdr:from>
    <xdr:to>
      <xdr:col>11</xdr:col>
      <xdr:colOff>0</xdr:colOff>
      <xdr:row>1232</xdr:row>
      <xdr:rowOff>114300</xdr:rowOff>
    </xdr:to>
    <xdr:pic>
      <xdr:nvPicPr>
        <xdr:cNvPr id="23882" name="Picture 38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7376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1223</xdr:row>
      <xdr:rowOff>0</xdr:rowOff>
    </xdr:from>
    <xdr:to>
      <xdr:col>11</xdr:col>
      <xdr:colOff>0</xdr:colOff>
      <xdr:row>1226</xdr:row>
      <xdr:rowOff>95250</xdr:rowOff>
    </xdr:to>
    <xdr:pic>
      <xdr:nvPicPr>
        <xdr:cNvPr id="23883" name="Picture 44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86325" y="1859280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47625</xdr:rowOff>
    </xdr:from>
    <xdr:to>
      <xdr:col>11</xdr:col>
      <xdr:colOff>0</xdr:colOff>
      <xdr:row>1233</xdr:row>
      <xdr:rowOff>114300</xdr:rowOff>
    </xdr:to>
    <xdr:pic>
      <xdr:nvPicPr>
        <xdr:cNvPr id="23884" name="Picture 44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8900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1223</xdr:row>
      <xdr:rowOff>0</xdr:rowOff>
    </xdr:from>
    <xdr:to>
      <xdr:col>11</xdr:col>
      <xdr:colOff>0</xdr:colOff>
      <xdr:row>1226</xdr:row>
      <xdr:rowOff>95250</xdr:rowOff>
    </xdr:to>
    <xdr:pic>
      <xdr:nvPicPr>
        <xdr:cNvPr id="23885" name="Picture 49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86325" y="1859280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47625</xdr:rowOff>
    </xdr:from>
    <xdr:to>
      <xdr:col>11</xdr:col>
      <xdr:colOff>0</xdr:colOff>
      <xdr:row>1233</xdr:row>
      <xdr:rowOff>114300</xdr:rowOff>
    </xdr:to>
    <xdr:pic>
      <xdr:nvPicPr>
        <xdr:cNvPr id="23886" name="Picture 49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8900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1223</xdr:row>
      <xdr:rowOff>0</xdr:rowOff>
    </xdr:from>
    <xdr:to>
      <xdr:col>11</xdr:col>
      <xdr:colOff>0</xdr:colOff>
      <xdr:row>1226</xdr:row>
      <xdr:rowOff>95250</xdr:rowOff>
    </xdr:to>
    <xdr:pic>
      <xdr:nvPicPr>
        <xdr:cNvPr id="23887" name="Picture 49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86325" y="1859280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47625</xdr:rowOff>
    </xdr:from>
    <xdr:to>
      <xdr:col>11</xdr:col>
      <xdr:colOff>0</xdr:colOff>
      <xdr:row>1233</xdr:row>
      <xdr:rowOff>114300</xdr:rowOff>
    </xdr:to>
    <xdr:pic>
      <xdr:nvPicPr>
        <xdr:cNvPr id="23888" name="Picture 49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8900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1224</xdr:row>
      <xdr:rowOff>0</xdr:rowOff>
    </xdr:from>
    <xdr:to>
      <xdr:col>11</xdr:col>
      <xdr:colOff>0</xdr:colOff>
      <xdr:row>1227</xdr:row>
      <xdr:rowOff>95250</xdr:rowOff>
    </xdr:to>
    <xdr:pic>
      <xdr:nvPicPr>
        <xdr:cNvPr id="23889" name="Picture 49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86325" y="1860804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0</xdr:rowOff>
    </xdr:from>
    <xdr:to>
      <xdr:col>11</xdr:col>
      <xdr:colOff>0</xdr:colOff>
      <xdr:row>1230</xdr:row>
      <xdr:rowOff>114300</xdr:rowOff>
    </xdr:to>
    <xdr:pic>
      <xdr:nvPicPr>
        <xdr:cNvPr id="23890" name="Picture 49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8424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1224</xdr:row>
      <xdr:rowOff>0</xdr:rowOff>
    </xdr:from>
    <xdr:to>
      <xdr:col>11</xdr:col>
      <xdr:colOff>0</xdr:colOff>
      <xdr:row>1227</xdr:row>
      <xdr:rowOff>95250</xdr:rowOff>
    </xdr:to>
    <xdr:pic>
      <xdr:nvPicPr>
        <xdr:cNvPr id="23891" name="Picture 4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86325" y="1860804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0</xdr:rowOff>
    </xdr:from>
    <xdr:to>
      <xdr:col>11</xdr:col>
      <xdr:colOff>0</xdr:colOff>
      <xdr:row>1230</xdr:row>
      <xdr:rowOff>114300</xdr:rowOff>
    </xdr:to>
    <xdr:pic>
      <xdr:nvPicPr>
        <xdr:cNvPr id="23892" name="Picture 49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8424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1224</xdr:row>
      <xdr:rowOff>0</xdr:rowOff>
    </xdr:from>
    <xdr:to>
      <xdr:col>11</xdr:col>
      <xdr:colOff>0</xdr:colOff>
      <xdr:row>1227</xdr:row>
      <xdr:rowOff>95250</xdr:rowOff>
    </xdr:to>
    <xdr:pic>
      <xdr:nvPicPr>
        <xdr:cNvPr id="23893" name="Picture 49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86325" y="1860804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1230</xdr:row>
      <xdr:rowOff>47625</xdr:rowOff>
    </xdr:from>
    <xdr:to>
      <xdr:col>11</xdr:col>
      <xdr:colOff>0</xdr:colOff>
      <xdr:row>1234</xdr:row>
      <xdr:rowOff>114300</xdr:rowOff>
    </xdr:to>
    <xdr:pic>
      <xdr:nvPicPr>
        <xdr:cNvPr id="23894" name="Picture 49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70424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1222</xdr:row>
      <xdr:rowOff>0</xdr:rowOff>
    </xdr:from>
    <xdr:to>
      <xdr:col>11</xdr:col>
      <xdr:colOff>0</xdr:colOff>
      <xdr:row>1225</xdr:row>
      <xdr:rowOff>95250</xdr:rowOff>
    </xdr:to>
    <xdr:pic>
      <xdr:nvPicPr>
        <xdr:cNvPr id="23895" name="Picture 5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86325" y="1857756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1228</xdr:row>
      <xdr:rowOff>47625</xdr:rowOff>
    </xdr:from>
    <xdr:to>
      <xdr:col>11</xdr:col>
      <xdr:colOff>0</xdr:colOff>
      <xdr:row>1232</xdr:row>
      <xdr:rowOff>114300</xdr:rowOff>
    </xdr:to>
    <xdr:pic>
      <xdr:nvPicPr>
        <xdr:cNvPr id="23896" name="Picture 50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7376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1222</xdr:row>
      <xdr:rowOff>0</xdr:rowOff>
    </xdr:from>
    <xdr:to>
      <xdr:col>11</xdr:col>
      <xdr:colOff>0</xdr:colOff>
      <xdr:row>1225</xdr:row>
      <xdr:rowOff>95250</xdr:rowOff>
    </xdr:to>
    <xdr:pic>
      <xdr:nvPicPr>
        <xdr:cNvPr id="23897" name="Picture 50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86325" y="1857756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1228</xdr:row>
      <xdr:rowOff>47625</xdr:rowOff>
    </xdr:from>
    <xdr:to>
      <xdr:col>11</xdr:col>
      <xdr:colOff>0</xdr:colOff>
      <xdr:row>1232</xdr:row>
      <xdr:rowOff>114300</xdr:rowOff>
    </xdr:to>
    <xdr:pic>
      <xdr:nvPicPr>
        <xdr:cNvPr id="23898" name="Picture 50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7376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1223</xdr:row>
      <xdr:rowOff>0</xdr:rowOff>
    </xdr:from>
    <xdr:to>
      <xdr:col>11</xdr:col>
      <xdr:colOff>0</xdr:colOff>
      <xdr:row>1226</xdr:row>
      <xdr:rowOff>95250</xdr:rowOff>
    </xdr:to>
    <xdr:pic>
      <xdr:nvPicPr>
        <xdr:cNvPr id="23899" name="Picture 50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86325" y="1859280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1228</xdr:row>
      <xdr:rowOff>0</xdr:rowOff>
    </xdr:from>
    <xdr:to>
      <xdr:col>11</xdr:col>
      <xdr:colOff>0</xdr:colOff>
      <xdr:row>1229</xdr:row>
      <xdr:rowOff>114300</xdr:rowOff>
    </xdr:to>
    <xdr:pic>
      <xdr:nvPicPr>
        <xdr:cNvPr id="23900" name="Picture 50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6900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1223</xdr:row>
      <xdr:rowOff>0</xdr:rowOff>
    </xdr:from>
    <xdr:to>
      <xdr:col>11</xdr:col>
      <xdr:colOff>0</xdr:colOff>
      <xdr:row>1226</xdr:row>
      <xdr:rowOff>95250</xdr:rowOff>
    </xdr:to>
    <xdr:pic>
      <xdr:nvPicPr>
        <xdr:cNvPr id="23901" name="Picture 50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86325" y="1859280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1228</xdr:row>
      <xdr:rowOff>0</xdr:rowOff>
    </xdr:from>
    <xdr:to>
      <xdr:col>11</xdr:col>
      <xdr:colOff>0</xdr:colOff>
      <xdr:row>1229</xdr:row>
      <xdr:rowOff>114300</xdr:rowOff>
    </xdr:to>
    <xdr:pic>
      <xdr:nvPicPr>
        <xdr:cNvPr id="23902" name="Picture 50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6900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1223</xdr:row>
      <xdr:rowOff>0</xdr:rowOff>
    </xdr:from>
    <xdr:to>
      <xdr:col>11</xdr:col>
      <xdr:colOff>0</xdr:colOff>
      <xdr:row>1226</xdr:row>
      <xdr:rowOff>95250</xdr:rowOff>
    </xdr:to>
    <xdr:pic>
      <xdr:nvPicPr>
        <xdr:cNvPr id="23903" name="Picture 50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86325" y="1859280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47625</xdr:rowOff>
    </xdr:from>
    <xdr:to>
      <xdr:col>11</xdr:col>
      <xdr:colOff>0</xdr:colOff>
      <xdr:row>1233</xdr:row>
      <xdr:rowOff>114300</xdr:rowOff>
    </xdr:to>
    <xdr:pic>
      <xdr:nvPicPr>
        <xdr:cNvPr id="23904" name="Picture 50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8900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1221</xdr:row>
      <xdr:rowOff>0</xdr:rowOff>
    </xdr:from>
    <xdr:to>
      <xdr:col>11</xdr:col>
      <xdr:colOff>0</xdr:colOff>
      <xdr:row>1224</xdr:row>
      <xdr:rowOff>95250</xdr:rowOff>
    </xdr:to>
    <xdr:pic>
      <xdr:nvPicPr>
        <xdr:cNvPr id="23905" name="Picture 51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86325" y="1856232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1227</xdr:row>
      <xdr:rowOff>47625</xdr:rowOff>
    </xdr:from>
    <xdr:to>
      <xdr:col>11</xdr:col>
      <xdr:colOff>0</xdr:colOff>
      <xdr:row>1231</xdr:row>
      <xdr:rowOff>114300</xdr:rowOff>
    </xdr:to>
    <xdr:pic>
      <xdr:nvPicPr>
        <xdr:cNvPr id="23906" name="Picture 51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5852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1221</xdr:row>
      <xdr:rowOff>0</xdr:rowOff>
    </xdr:from>
    <xdr:to>
      <xdr:col>11</xdr:col>
      <xdr:colOff>0</xdr:colOff>
      <xdr:row>1224</xdr:row>
      <xdr:rowOff>95250</xdr:rowOff>
    </xdr:to>
    <xdr:pic>
      <xdr:nvPicPr>
        <xdr:cNvPr id="23907" name="Picture 5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86325" y="1856232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1227</xdr:row>
      <xdr:rowOff>47625</xdr:rowOff>
    </xdr:from>
    <xdr:to>
      <xdr:col>11</xdr:col>
      <xdr:colOff>0</xdr:colOff>
      <xdr:row>1231</xdr:row>
      <xdr:rowOff>114300</xdr:rowOff>
    </xdr:to>
    <xdr:pic>
      <xdr:nvPicPr>
        <xdr:cNvPr id="23908" name="Picture 51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5852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1222</xdr:row>
      <xdr:rowOff>0</xdr:rowOff>
    </xdr:from>
    <xdr:to>
      <xdr:col>11</xdr:col>
      <xdr:colOff>0</xdr:colOff>
      <xdr:row>1225</xdr:row>
      <xdr:rowOff>95250</xdr:rowOff>
    </xdr:to>
    <xdr:pic>
      <xdr:nvPicPr>
        <xdr:cNvPr id="23909" name="Picture 51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86325" y="1857756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1227</xdr:row>
      <xdr:rowOff>0</xdr:rowOff>
    </xdr:from>
    <xdr:to>
      <xdr:col>11</xdr:col>
      <xdr:colOff>0</xdr:colOff>
      <xdr:row>1228</xdr:row>
      <xdr:rowOff>114300</xdr:rowOff>
    </xdr:to>
    <xdr:pic>
      <xdr:nvPicPr>
        <xdr:cNvPr id="23910" name="Picture 51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5376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1222</xdr:row>
      <xdr:rowOff>0</xdr:rowOff>
    </xdr:from>
    <xdr:to>
      <xdr:col>11</xdr:col>
      <xdr:colOff>0</xdr:colOff>
      <xdr:row>1225</xdr:row>
      <xdr:rowOff>95250</xdr:rowOff>
    </xdr:to>
    <xdr:pic>
      <xdr:nvPicPr>
        <xdr:cNvPr id="23911" name="Picture 51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86325" y="1857756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1227</xdr:row>
      <xdr:rowOff>0</xdr:rowOff>
    </xdr:from>
    <xdr:to>
      <xdr:col>11</xdr:col>
      <xdr:colOff>0</xdr:colOff>
      <xdr:row>1228</xdr:row>
      <xdr:rowOff>114300</xdr:rowOff>
    </xdr:to>
    <xdr:pic>
      <xdr:nvPicPr>
        <xdr:cNvPr id="23912" name="Picture 51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5376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1221</xdr:row>
      <xdr:rowOff>161925</xdr:rowOff>
    </xdr:from>
    <xdr:to>
      <xdr:col>11</xdr:col>
      <xdr:colOff>9525</xdr:colOff>
      <xdr:row>1225</xdr:row>
      <xdr:rowOff>85725</xdr:rowOff>
    </xdr:to>
    <xdr:pic>
      <xdr:nvPicPr>
        <xdr:cNvPr id="23913" name="Picture 51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86325" y="185775600"/>
          <a:ext cx="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1228</xdr:row>
      <xdr:rowOff>47625</xdr:rowOff>
    </xdr:from>
    <xdr:to>
      <xdr:col>11</xdr:col>
      <xdr:colOff>0</xdr:colOff>
      <xdr:row>1232</xdr:row>
      <xdr:rowOff>114300</xdr:rowOff>
    </xdr:to>
    <xdr:pic>
      <xdr:nvPicPr>
        <xdr:cNvPr id="23914" name="Picture 51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7376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1222</xdr:row>
      <xdr:rowOff>47625</xdr:rowOff>
    </xdr:from>
    <xdr:to>
      <xdr:col>11</xdr:col>
      <xdr:colOff>0</xdr:colOff>
      <xdr:row>1226</xdr:row>
      <xdr:rowOff>114300</xdr:rowOff>
    </xdr:to>
    <xdr:pic>
      <xdr:nvPicPr>
        <xdr:cNvPr id="23915" name="Picture 63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58232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1222</xdr:row>
      <xdr:rowOff>47625</xdr:rowOff>
    </xdr:from>
    <xdr:to>
      <xdr:col>11</xdr:col>
      <xdr:colOff>0</xdr:colOff>
      <xdr:row>1226</xdr:row>
      <xdr:rowOff>114300</xdr:rowOff>
    </xdr:to>
    <xdr:pic>
      <xdr:nvPicPr>
        <xdr:cNvPr id="23916" name="Picture 63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58232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1222</xdr:row>
      <xdr:rowOff>0</xdr:rowOff>
    </xdr:from>
    <xdr:to>
      <xdr:col>11</xdr:col>
      <xdr:colOff>0</xdr:colOff>
      <xdr:row>1223</xdr:row>
      <xdr:rowOff>114300</xdr:rowOff>
    </xdr:to>
    <xdr:pic>
      <xdr:nvPicPr>
        <xdr:cNvPr id="23917" name="Picture 63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57756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1222</xdr:row>
      <xdr:rowOff>0</xdr:rowOff>
    </xdr:from>
    <xdr:to>
      <xdr:col>11</xdr:col>
      <xdr:colOff>0</xdr:colOff>
      <xdr:row>1223</xdr:row>
      <xdr:rowOff>114300</xdr:rowOff>
    </xdr:to>
    <xdr:pic>
      <xdr:nvPicPr>
        <xdr:cNvPr id="23918" name="Picture 63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57756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1223</xdr:row>
      <xdr:rowOff>47625</xdr:rowOff>
    </xdr:from>
    <xdr:to>
      <xdr:col>11</xdr:col>
      <xdr:colOff>0</xdr:colOff>
      <xdr:row>1227</xdr:row>
      <xdr:rowOff>114300</xdr:rowOff>
    </xdr:to>
    <xdr:pic>
      <xdr:nvPicPr>
        <xdr:cNvPr id="23919" name="Picture 63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59756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1221</xdr:row>
      <xdr:rowOff>47625</xdr:rowOff>
    </xdr:from>
    <xdr:to>
      <xdr:col>11</xdr:col>
      <xdr:colOff>0</xdr:colOff>
      <xdr:row>1225</xdr:row>
      <xdr:rowOff>114300</xdr:rowOff>
    </xdr:to>
    <xdr:pic>
      <xdr:nvPicPr>
        <xdr:cNvPr id="23920" name="Picture 63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56708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1221</xdr:row>
      <xdr:rowOff>47625</xdr:rowOff>
    </xdr:from>
    <xdr:to>
      <xdr:col>11</xdr:col>
      <xdr:colOff>0</xdr:colOff>
      <xdr:row>1225</xdr:row>
      <xdr:rowOff>114300</xdr:rowOff>
    </xdr:to>
    <xdr:pic>
      <xdr:nvPicPr>
        <xdr:cNvPr id="23921" name="Picture 64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56708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1221</xdr:row>
      <xdr:rowOff>0</xdr:rowOff>
    </xdr:from>
    <xdr:to>
      <xdr:col>11</xdr:col>
      <xdr:colOff>0</xdr:colOff>
      <xdr:row>1222</xdr:row>
      <xdr:rowOff>114300</xdr:rowOff>
    </xdr:to>
    <xdr:pic>
      <xdr:nvPicPr>
        <xdr:cNvPr id="23922" name="Picture 64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56232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1221</xdr:row>
      <xdr:rowOff>0</xdr:rowOff>
    </xdr:from>
    <xdr:to>
      <xdr:col>11</xdr:col>
      <xdr:colOff>0</xdr:colOff>
      <xdr:row>1222</xdr:row>
      <xdr:rowOff>114300</xdr:rowOff>
    </xdr:to>
    <xdr:pic>
      <xdr:nvPicPr>
        <xdr:cNvPr id="23923" name="Picture 64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56232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1222</xdr:row>
      <xdr:rowOff>47625</xdr:rowOff>
    </xdr:from>
    <xdr:to>
      <xdr:col>11</xdr:col>
      <xdr:colOff>0</xdr:colOff>
      <xdr:row>1226</xdr:row>
      <xdr:rowOff>114300</xdr:rowOff>
    </xdr:to>
    <xdr:pic>
      <xdr:nvPicPr>
        <xdr:cNvPr id="23924" name="Picture 64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58232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1221</xdr:row>
      <xdr:rowOff>0</xdr:rowOff>
    </xdr:from>
    <xdr:to>
      <xdr:col>11</xdr:col>
      <xdr:colOff>0</xdr:colOff>
      <xdr:row>1224</xdr:row>
      <xdr:rowOff>114300</xdr:rowOff>
    </xdr:to>
    <xdr:pic>
      <xdr:nvPicPr>
        <xdr:cNvPr id="23925" name="Picture 64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5623200"/>
          <a:ext cx="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1221</xdr:row>
      <xdr:rowOff>0</xdr:rowOff>
    </xdr:from>
    <xdr:to>
      <xdr:col>11</xdr:col>
      <xdr:colOff>0</xdr:colOff>
      <xdr:row>1224</xdr:row>
      <xdr:rowOff>114300</xdr:rowOff>
    </xdr:to>
    <xdr:pic>
      <xdr:nvPicPr>
        <xdr:cNvPr id="23926" name="Picture 64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5623200"/>
          <a:ext cx="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1221</xdr:row>
      <xdr:rowOff>0</xdr:rowOff>
    </xdr:from>
    <xdr:to>
      <xdr:col>11</xdr:col>
      <xdr:colOff>0</xdr:colOff>
      <xdr:row>1221</xdr:row>
      <xdr:rowOff>114300</xdr:rowOff>
    </xdr:to>
    <xdr:pic>
      <xdr:nvPicPr>
        <xdr:cNvPr id="23927" name="Picture 64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56232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1221</xdr:row>
      <xdr:rowOff>0</xdr:rowOff>
    </xdr:from>
    <xdr:to>
      <xdr:col>11</xdr:col>
      <xdr:colOff>0</xdr:colOff>
      <xdr:row>1221</xdr:row>
      <xdr:rowOff>114300</xdr:rowOff>
    </xdr:to>
    <xdr:pic>
      <xdr:nvPicPr>
        <xdr:cNvPr id="23928" name="Picture 64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56232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1221</xdr:row>
      <xdr:rowOff>47625</xdr:rowOff>
    </xdr:from>
    <xdr:to>
      <xdr:col>11</xdr:col>
      <xdr:colOff>0</xdr:colOff>
      <xdr:row>1225</xdr:row>
      <xdr:rowOff>114300</xdr:rowOff>
    </xdr:to>
    <xdr:pic>
      <xdr:nvPicPr>
        <xdr:cNvPr id="23929" name="Picture 64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56708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1222</xdr:row>
      <xdr:rowOff>47625</xdr:rowOff>
    </xdr:from>
    <xdr:to>
      <xdr:col>11</xdr:col>
      <xdr:colOff>0</xdr:colOff>
      <xdr:row>1226</xdr:row>
      <xdr:rowOff>114300</xdr:rowOff>
    </xdr:to>
    <xdr:pic>
      <xdr:nvPicPr>
        <xdr:cNvPr id="23930" name="Picture 64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58232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1222</xdr:row>
      <xdr:rowOff>47625</xdr:rowOff>
    </xdr:from>
    <xdr:to>
      <xdr:col>11</xdr:col>
      <xdr:colOff>0</xdr:colOff>
      <xdr:row>1226</xdr:row>
      <xdr:rowOff>114300</xdr:rowOff>
    </xdr:to>
    <xdr:pic>
      <xdr:nvPicPr>
        <xdr:cNvPr id="23931" name="Picture 65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58232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1222</xdr:row>
      <xdr:rowOff>47625</xdr:rowOff>
    </xdr:from>
    <xdr:to>
      <xdr:col>11</xdr:col>
      <xdr:colOff>0</xdr:colOff>
      <xdr:row>1226</xdr:row>
      <xdr:rowOff>114300</xdr:rowOff>
    </xdr:to>
    <xdr:pic>
      <xdr:nvPicPr>
        <xdr:cNvPr id="23932" name="Picture 65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58232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1222</xdr:row>
      <xdr:rowOff>0</xdr:rowOff>
    </xdr:from>
    <xdr:to>
      <xdr:col>11</xdr:col>
      <xdr:colOff>0</xdr:colOff>
      <xdr:row>1223</xdr:row>
      <xdr:rowOff>114300</xdr:rowOff>
    </xdr:to>
    <xdr:pic>
      <xdr:nvPicPr>
        <xdr:cNvPr id="23933" name="Picture 65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57756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1222</xdr:row>
      <xdr:rowOff>0</xdr:rowOff>
    </xdr:from>
    <xdr:to>
      <xdr:col>11</xdr:col>
      <xdr:colOff>0</xdr:colOff>
      <xdr:row>1223</xdr:row>
      <xdr:rowOff>114300</xdr:rowOff>
    </xdr:to>
    <xdr:pic>
      <xdr:nvPicPr>
        <xdr:cNvPr id="23934" name="Picture 65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57756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1223</xdr:row>
      <xdr:rowOff>47625</xdr:rowOff>
    </xdr:from>
    <xdr:to>
      <xdr:col>11</xdr:col>
      <xdr:colOff>0</xdr:colOff>
      <xdr:row>1227</xdr:row>
      <xdr:rowOff>114300</xdr:rowOff>
    </xdr:to>
    <xdr:pic>
      <xdr:nvPicPr>
        <xdr:cNvPr id="23935" name="Picture 65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59756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1221</xdr:row>
      <xdr:rowOff>47625</xdr:rowOff>
    </xdr:from>
    <xdr:to>
      <xdr:col>11</xdr:col>
      <xdr:colOff>0</xdr:colOff>
      <xdr:row>1225</xdr:row>
      <xdr:rowOff>114300</xdr:rowOff>
    </xdr:to>
    <xdr:pic>
      <xdr:nvPicPr>
        <xdr:cNvPr id="23936" name="Picture 65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56708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1221</xdr:row>
      <xdr:rowOff>47625</xdr:rowOff>
    </xdr:from>
    <xdr:to>
      <xdr:col>11</xdr:col>
      <xdr:colOff>0</xdr:colOff>
      <xdr:row>1225</xdr:row>
      <xdr:rowOff>114300</xdr:rowOff>
    </xdr:to>
    <xdr:pic>
      <xdr:nvPicPr>
        <xdr:cNvPr id="23937" name="Picture 65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56708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1221</xdr:row>
      <xdr:rowOff>0</xdr:rowOff>
    </xdr:from>
    <xdr:to>
      <xdr:col>11</xdr:col>
      <xdr:colOff>0</xdr:colOff>
      <xdr:row>1222</xdr:row>
      <xdr:rowOff>114300</xdr:rowOff>
    </xdr:to>
    <xdr:pic>
      <xdr:nvPicPr>
        <xdr:cNvPr id="23938" name="Picture 65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56232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1221</xdr:row>
      <xdr:rowOff>0</xdr:rowOff>
    </xdr:from>
    <xdr:to>
      <xdr:col>11</xdr:col>
      <xdr:colOff>0</xdr:colOff>
      <xdr:row>1222</xdr:row>
      <xdr:rowOff>114300</xdr:rowOff>
    </xdr:to>
    <xdr:pic>
      <xdr:nvPicPr>
        <xdr:cNvPr id="23939" name="Picture 65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56232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1222</xdr:row>
      <xdr:rowOff>47625</xdr:rowOff>
    </xdr:from>
    <xdr:to>
      <xdr:col>11</xdr:col>
      <xdr:colOff>0</xdr:colOff>
      <xdr:row>1226</xdr:row>
      <xdr:rowOff>114300</xdr:rowOff>
    </xdr:to>
    <xdr:pic>
      <xdr:nvPicPr>
        <xdr:cNvPr id="23940" name="Picture 65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58232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1221</xdr:row>
      <xdr:rowOff>0</xdr:rowOff>
    </xdr:from>
    <xdr:to>
      <xdr:col>11</xdr:col>
      <xdr:colOff>0</xdr:colOff>
      <xdr:row>1224</xdr:row>
      <xdr:rowOff>114300</xdr:rowOff>
    </xdr:to>
    <xdr:pic>
      <xdr:nvPicPr>
        <xdr:cNvPr id="23941" name="Picture 66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5623200"/>
          <a:ext cx="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1221</xdr:row>
      <xdr:rowOff>0</xdr:rowOff>
    </xdr:from>
    <xdr:to>
      <xdr:col>11</xdr:col>
      <xdr:colOff>0</xdr:colOff>
      <xdr:row>1224</xdr:row>
      <xdr:rowOff>114300</xdr:rowOff>
    </xdr:to>
    <xdr:pic>
      <xdr:nvPicPr>
        <xdr:cNvPr id="23942" name="Picture 66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5623200"/>
          <a:ext cx="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1221</xdr:row>
      <xdr:rowOff>0</xdr:rowOff>
    </xdr:from>
    <xdr:to>
      <xdr:col>11</xdr:col>
      <xdr:colOff>0</xdr:colOff>
      <xdr:row>1221</xdr:row>
      <xdr:rowOff>114300</xdr:rowOff>
    </xdr:to>
    <xdr:pic>
      <xdr:nvPicPr>
        <xdr:cNvPr id="23943" name="Picture 66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56232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1221</xdr:row>
      <xdr:rowOff>0</xdr:rowOff>
    </xdr:from>
    <xdr:to>
      <xdr:col>11</xdr:col>
      <xdr:colOff>0</xdr:colOff>
      <xdr:row>1221</xdr:row>
      <xdr:rowOff>114300</xdr:rowOff>
    </xdr:to>
    <xdr:pic>
      <xdr:nvPicPr>
        <xdr:cNvPr id="23944" name="Picture 66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56232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1221</xdr:row>
      <xdr:rowOff>47625</xdr:rowOff>
    </xdr:from>
    <xdr:to>
      <xdr:col>11</xdr:col>
      <xdr:colOff>0</xdr:colOff>
      <xdr:row>1225</xdr:row>
      <xdr:rowOff>114300</xdr:rowOff>
    </xdr:to>
    <xdr:pic>
      <xdr:nvPicPr>
        <xdr:cNvPr id="23945" name="Picture 66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56708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1230</xdr:row>
      <xdr:rowOff>47625</xdr:rowOff>
    </xdr:from>
    <xdr:to>
      <xdr:col>11</xdr:col>
      <xdr:colOff>0</xdr:colOff>
      <xdr:row>1234</xdr:row>
      <xdr:rowOff>114300</xdr:rowOff>
    </xdr:to>
    <xdr:pic>
      <xdr:nvPicPr>
        <xdr:cNvPr id="23946" name="Picture 66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70424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1224</xdr:row>
      <xdr:rowOff>0</xdr:rowOff>
    </xdr:from>
    <xdr:to>
      <xdr:col>11</xdr:col>
      <xdr:colOff>0</xdr:colOff>
      <xdr:row>1227</xdr:row>
      <xdr:rowOff>95250</xdr:rowOff>
    </xdr:to>
    <xdr:pic>
      <xdr:nvPicPr>
        <xdr:cNvPr id="23947" name="Picture 66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86325" y="1860804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1230</xdr:row>
      <xdr:rowOff>47625</xdr:rowOff>
    </xdr:from>
    <xdr:to>
      <xdr:col>11</xdr:col>
      <xdr:colOff>0</xdr:colOff>
      <xdr:row>1234</xdr:row>
      <xdr:rowOff>114300</xdr:rowOff>
    </xdr:to>
    <xdr:pic>
      <xdr:nvPicPr>
        <xdr:cNvPr id="23948" name="Picture 66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70424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1230</xdr:row>
      <xdr:rowOff>0</xdr:rowOff>
    </xdr:from>
    <xdr:to>
      <xdr:col>11</xdr:col>
      <xdr:colOff>0</xdr:colOff>
      <xdr:row>1231</xdr:row>
      <xdr:rowOff>114300</xdr:rowOff>
    </xdr:to>
    <xdr:pic>
      <xdr:nvPicPr>
        <xdr:cNvPr id="23949" name="Picture 66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9948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1225</xdr:row>
      <xdr:rowOff>0</xdr:rowOff>
    </xdr:from>
    <xdr:to>
      <xdr:col>11</xdr:col>
      <xdr:colOff>0</xdr:colOff>
      <xdr:row>1228</xdr:row>
      <xdr:rowOff>95250</xdr:rowOff>
    </xdr:to>
    <xdr:pic>
      <xdr:nvPicPr>
        <xdr:cNvPr id="23950" name="Picture 66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86325" y="1862328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1230</xdr:row>
      <xdr:rowOff>0</xdr:rowOff>
    </xdr:from>
    <xdr:to>
      <xdr:col>11</xdr:col>
      <xdr:colOff>0</xdr:colOff>
      <xdr:row>1231</xdr:row>
      <xdr:rowOff>114300</xdr:rowOff>
    </xdr:to>
    <xdr:pic>
      <xdr:nvPicPr>
        <xdr:cNvPr id="23951" name="Picture 67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9948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1231</xdr:row>
      <xdr:rowOff>47625</xdr:rowOff>
    </xdr:from>
    <xdr:to>
      <xdr:col>11</xdr:col>
      <xdr:colOff>0</xdr:colOff>
      <xdr:row>1235</xdr:row>
      <xdr:rowOff>114300</xdr:rowOff>
    </xdr:to>
    <xdr:pic>
      <xdr:nvPicPr>
        <xdr:cNvPr id="23952" name="Picture 67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71948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47625</xdr:rowOff>
    </xdr:from>
    <xdr:to>
      <xdr:col>11</xdr:col>
      <xdr:colOff>0</xdr:colOff>
      <xdr:row>1233</xdr:row>
      <xdr:rowOff>114300</xdr:rowOff>
    </xdr:to>
    <xdr:pic>
      <xdr:nvPicPr>
        <xdr:cNvPr id="23953" name="Picture 67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8900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1223</xdr:row>
      <xdr:rowOff>0</xdr:rowOff>
    </xdr:from>
    <xdr:to>
      <xdr:col>11</xdr:col>
      <xdr:colOff>0</xdr:colOff>
      <xdr:row>1226</xdr:row>
      <xdr:rowOff>95250</xdr:rowOff>
    </xdr:to>
    <xdr:pic>
      <xdr:nvPicPr>
        <xdr:cNvPr id="23954" name="Picture 67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86325" y="1859280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47625</xdr:rowOff>
    </xdr:from>
    <xdr:to>
      <xdr:col>11</xdr:col>
      <xdr:colOff>0</xdr:colOff>
      <xdr:row>1233</xdr:row>
      <xdr:rowOff>114300</xdr:rowOff>
    </xdr:to>
    <xdr:pic>
      <xdr:nvPicPr>
        <xdr:cNvPr id="23955" name="Picture 67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8900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0</xdr:rowOff>
    </xdr:from>
    <xdr:to>
      <xdr:col>11</xdr:col>
      <xdr:colOff>0</xdr:colOff>
      <xdr:row>1230</xdr:row>
      <xdr:rowOff>114300</xdr:rowOff>
    </xdr:to>
    <xdr:pic>
      <xdr:nvPicPr>
        <xdr:cNvPr id="23956" name="Picture 67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8424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0</xdr:rowOff>
    </xdr:from>
    <xdr:to>
      <xdr:col>11</xdr:col>
      <xdr:colOff>0</xdr:colOff>
      <xdr:row>1230</xdr:row>
      <xdr:rowOff>114300</xdr:rowOff>
    </xdr:to>
    <xdr:pic>
      <xdr:nvPicPr>
        <xdr:cNvPr id="23957" name="Picture 67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8424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1230</xdr:row>
      <xdr:rowOff>47625</xdr:rowOff>
    </xdr:from>
    <xdr:to>
      <xdr:col>11</xdr:col>
      <xdr:colOff>0</xdr:colOff>
      <xdr:row>1234</xdr:row>
      <xdr:rowOff>114300</xdr:rowOff>
    </xdr:to>
    <xdr:pic>
      <xdr:nvPicPr>
        <xdr:cNvPr id="23958" name="Picture 67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70424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1228</xdr:row>
      <xdr:rowOff>47625</xdr:rowOff>
    </xdr:from>
    <xdr:to>
      <xdr:col>11</xdr:col>
      <xdr:colOff>0</xdr:colOff>
      <xdr:row>1232</xdr:row>
      <xdr:rowOff>114300</xdr:rowOff>
    </xdr:to>
    <xdr:pic>
      <xdr:nvPicPr>
        <xdr:cNvPr id="23959" name="Picture 67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7376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1222</xdr:row>
      <xdr:rowOff>0</xdr:rowOff>
    </xdr:from>
    <xdr:to>
      <xdr:col>11</xdr:col>
      <xdr:colOff>0</xdr:colOff>
      <xdr:row>1225</xdr:row>
      <xdr:rowOff>95250</xdr:rowOff>
    </xdr:to>
    <xdr:pic>
      <xdr:nvPicPr>
        <xdr:cNvPr id="23960" name="Picture 67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86325" y="1857756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1228</xdr:row>
      <xdr:rowOff>47625</xdr:rowOff>
    </xdr:from>
    <xdr:to>
      <xdr:col>11</xdr:col>
      <xdr:colOff>0</xdr:colOff>
      <xdr:row>1232</xdr:row>
      <xdr:rowOff>114300</xdr:rowOff>
    </xdr:to>
    <xdr:pic>
      <xdr:nvPicPr>
        <xdr:cNvPr id="23961" name="Picture 68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7376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1228</xdr:row>
      <xdr:rowOff>0</xdr:rowOff>
    </xdr:from>
    <xdr:to>
      <xdr:col>11</xdr:col>
      <xdr:colOff>0</xdr:colOff>
      <xdr:row>1229</xdr:row>
      <xdr:rowOff>114300</xdr:rowOff>
    </xdr:to>
    <xdr:pic>
      <xdr:nvPicPr>
        <xdr:cNvPr id="23962" name="Picture 68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6900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1223</xdr:row>
      <xdr:rowOff>0</xdr:rowOff>
    </xdr:from>
    <xdr:to>
      <xdr:col>11</xdr:col>
      <xdr:colOff>0</xdr:colOff>
      <xdr:row>1226</xdr:row>
      <xdr:rowOff>95250</xdr:rowOff>
    </xdr:to>
    <xdr:pic>
      <xdr:nvPicPr>
        <xdr:cNvPr id="23963" name="Picture 68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86325" y="1859280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47625</xdr:rowOff>
    </xdr:from>
    <xdr:to>
      <xdr:col>11</xdr:col>
      <xdr:colOff>0</xdr:colOff>
      <xdr:row>1233</xdr:row>
      <xdr:rowOff>114300</xdr:rowOff>
    </xdr:to>
    <xdr:pic>
      <xdr:nvPicPr>
        <xdr:cNvPr id="23964" name="Picture 68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8900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1230</xdr:row>
      <xdr:rowOff>47625</xdr:rowOff>
    </xdr:from>
    <xdr:to>
      <xdr:col>11</xdr:col>
      <xdr:colOff>0</xdr:colOff>
      <xdr:row>1234</xdr:row>
      <xdr:rowOff>114300</xdr:rowOff>
    </xdr:to>
    <xdr:pic>
      <xdr:nvPicPr>
        <xdr:cNvPr id="23965" name="Picture 68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70424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1230</xdr:row>
      <xdr:rowOff>47625</xdr:rowOff>
    </xdr:from>
    <xdr:to>
      <xdr:col>11</xdr:col>
      <xdr:colOff>0</xdr:colOff>
      <xdr:row>1234</xdr:row>
      <xdr:rowOff>114300</xdr:rowOff>
    </xdr:to>
    <xdr:pic>
      <xdr:nvPicPr>
        <xdr:cNvPr id="23966" name="Picture 68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70424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1230</xdr:row>
      <xdr:rowOff>47625</xdr:rowOff>
    </xdr:from>
    <xdr:to>
      <xdr:col>11</xdr:col>
      <xdr:colOff>0</xdr:colOff>
      <xdr:row>1234</xdr:row>
      <xdr:rowOff>114300</xdr:rowOff>
    </xdr:to>
    <xdr:pic>
      <xdr:nvPicPr>
        <xdr:cNvPr id="23967" name="Picture 68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70424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1230</xdr:row>
      <xdr:rowOff>0</xdr:rowOff>
    </xdr:from>
    <xdr:to>
      <xdr:col>11</xdr:col>
      <xdr:colOff>0</xdr:colOff>
      <xdr:row>1231</xdr:row>
      <xdr:rowOff>114300</xdr:rowOff>
    </xdr:to>
    <xdr:pic>
      <xdr:nvPicPr>
        <xdr:cNvPr id="23968" name="Picture 68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9948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1230</xdr:row>
      <xdr:rowOff>0</xdr:rowOff>
    </xdr:from>
    <xdr:to>
      <xdr:col>11</xdr:col>
      <xdr:colOff>0</xdr:colOff>
      <xdr:row>1231</xdr:row>
      <xdr:rowOff>114300</xdr:rowOff>
    </xdr:to>
    <xdr:pic>
      <xdr:nvPicPr>
        <xdr:cNvPr id="23969" name="Picture 68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9948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1231</xdr:row>
      <xdr:rowOff>47625</xdr:rowOff>
    </xdr:from>
    <xdr:to>
      <xdr:col>11</xdr:col>
      <xdr:colOff>0</xdr:colOff>
      <xdr:row>1235</xdr:row>
      <xdr:rowOff>114300</xdr:rowOff>
    </xdr:to>
    <xdr:pic>
      <xdr:nvPicPr>
        <xdr:cNvPr id="23970" name="Picture 68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71948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47625</xdr:rowOff>
    </xdr:from>
    <xdr:to>
      <xdr:col>11</xdr:col>
      <xdr:colOff>0</xdr:colOff>
      <xdr:row>1233</xdr:row>
      <xdr:rowOff>114300</xdr:rowOff>
    </xdr:to>
    <xdr:pic>
      <xdr:nvPicPr>
        <xdr:cNvPr id="23971" name="Picture 69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8900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47625</xdr:rowOff>
    </xdr:from>
    <xdr:to>
      <xdr:col>11</xdr:col>
      <xdr:colOff>0</xdr:colOff>
      <xdr:row>1233</xdr:row>
      <xdr:rowOff>114300</xdr:rowOff>
    </xdr:to>
    <xdr:pic>
      <xdr:nvPicPr>
        <xdr:cNvPr id="23972" name="Picture 69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8900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0</xdr:rowOff>
    </xdr:from>
    <xdr:to>
      <xdr:col>11</xdr:col>
      <xdr:colOff>0</xdr:colOff>
      <xdr:row>1230</xdr:row>
      <xdr:rowOff>114300</xdr:rowOff>
    </xdr:to>
    <xdr:pic>
      <xdr:nvPicPr>
        <xdr:cNvPr id="23973" name="Picture 69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8424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0</xdr:rowOff>
    </xdr:from>
    <xdr:to>
      <xdr:col>11</xdr:col>
      <xdr:colOff>0</xdr:colOff>
      <xdr:row>1230</xdr:row>
      <xdr:rowOff>114300</xdr:rowOff>
    </xdr:to>
    <xdr:pic>
      <xdr:nvPicPr>
        <xdr:cNvPr id="23974" name="Picture 69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8424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1230</xdr:row>
      <xdr:rowOff>47625</xdr:rowOff>
    </xdr:from>
    <xdr:to>
      <xdr:col>11</xdr:col>
      <xdr:colOff>0</xdr:colOff>
      <xdr:row>1234</xdr:row>
      <xdr:rowOff>114300</xdr:rowOff>
    </xdr:to>
    <xdr:pic>
      <xdr:nvPicPr>
        <xdr:cNvPr id="23975" name="Picture 69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70424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1228</xdr:row>
      <xdr:rowOff>47625</xdr:rowOff>
    </xdr:from>
    <xdr:to>
      <xdr:col>11</xdr:col>
      <xdr:colOff>0</xdr:colOff>
      <xdr:row>1232</xdr:row>
      <xdr:rowOff>114300</xdr:rowOff>
    </xdr:to>
    <xdr:pic>
      <xdr:nvPicPr>
        <xdr:cNvPr id="23976" name="Picture 69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7376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1230</xdr:row>
      <xdr:rowOff>47625</xdr:rowOff>
    </xdr:from>
    <xdr:to>
      <xdr:col>11</xdr:col>
      <xdr:colOff>0</xdr:colOff>
      <xdr:row>1234</xdr:row>
      <xdr:rowOff>114300</xdr:rowOff>
    </xdr:to>
    <xdr:pic>
      <xdr:nvPicPr>
        <xdr:cNvPr id="23977" name="Picture 69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70424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1224</xdr:row>
      <xdr:rowOff>0</xdr:rowOff>
    </xdr:from>
    <xdr:to>
      <xdr:col>11</xdr:col>
      <xdr:colOff>0</xdr:colOff>
      <xdr:row>1227</xdr:row>
      <xdr:rowOff>95250</xdr:rowOff>
    </xdr:to>
    <xdr:pic>
      <xdr:nvPicPr>
        <xdr:cNvPr id="23978" name="Picture 69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86325" y="1860804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1230</xdr:row>
      <xdr:rowOff>47625</xdr:rowOff>
    </xdr:from>
    <xdr:to>
      <xdr:col>11</xdr:col>
      <xdr:colOff>0</xdr:colOff>
      <xdr:row>1234</xdr:row>
      <xdr:rowOff>114300</xdr:rowOff>
    </xdr:to>
    <xdr:pic>
      <xdr:nvPicPr>
        <xdr:cNvPr id="23979" name="Picture 69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70424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1230</xdr:row>
      <xdr:rowOff>0</xdr:rowOff>
    </xdr:from>
    <xdr:to>
      <xdr:col>11</xdr:col>
      <xdr:colOff>0</xdr:colOff>
      <xdr:row>1231</xdr:row>
      <xdr:rowOff>114300</xdr:rowOff>
    </xdr:to>
    <xdr:pic>
      <xdr:nvPicPr>
        <xdr:cNvPr id="23980" name="Picture 69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9948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1225</xdr:row>
      <xdr:rowOff>0</xdr:rowOff>
    </xdr:from>
    <xdr:to>
      <xdr:col>11</xdr:col>
      <xdr:colOff>0</xdr:colOff>
      <xdr:row>1228</xdr:row>
      <xdr:rowOff>95250</xdr:rowOff>
    </xdr:to>
    <xdr:pic>
      <xdr:nvPicPr>
        <xdr:cNvPr id="23981" name="Picture 7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86325" y="1862328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1230</xdr:row>
      <xdr:rowOff>0</xdr:rowOff>
    </xdr:from>
    <xdr:to>
      <xdr:col>11</xdr:col>
      <xdr:colOff>0</xdr:colOff>
      <xdr:row>1231</xdr:row>
      <xdr:rowOff>114300</xdr:rowOff>
    </xdr:to>
    <xdr:pic>
      <xdr:nvPicPr>
        <xdr:cNvPr id="23982" name="Picture 70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9948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1231</xdr:row>
      <xdr:rowOff>47625</xdr:rowOff>
    </xdr:from>
    <xdr:to>
      <xdr:col>11</xdr:col>
      <xdr:colOff>0</xdr:colOff>
      <xdr:row>1235</xdr:row>
      <xdr:rowOff>114300</xdr:rowOff>
    </xdr:to>
    <xdr:pic>
      <xdr:nvPicPr>
        <xdr:cNvPr id="23983" name="Picture 70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71948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47625</xdr:rowOff>
    </xdr:from>
    <xdr:to>
      <xdr:col>11</xdr:col>
      <xdr:colOff>0</xdr:colOff>
      <xdr:row>1233</xdr:row>
      <xdr:rowOff>114300</xdr:rowOff>
    </xdr:to>
    <xdr:pic>
      <xdr:nvPicPr>
        <xdr:cNvPr id="23984" name="Picture 70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8900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1223</xdr:row>
      <xdr:rowOff>0</xdr:rowOff>
    </xdr:from>
    <xdr:to>
      <xdr:col>11</xdr:col>
      <xdr:colOff>0</xdr:colOff>
      <xdr:row>1226</xdr:row>
      <xdr:rowOff>95250</xdr:rowOff>
    </xdr:to>
    <xdr:pic>
      <xdr:nvPicPr>
        <xdr:cNvPr id="23985" name="Picture 70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86325" y="1859280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47625</xdr:rowOff>
    </xdr:from>
    <xdr:to>
      <xdr:col>11</xdr:col>
      <xdr:colOff>0</xdr:colOff>
      <xdr:row>1233</xdr:row>
      <xdr:rowOff>114300</xdr:rowOff>
    </xdr:to>
    <xdr:pic>
      <xdr:nvPicPr>
        <xdr:cNvPr id="23986" name="Picture 70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8900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0</xdr:rowOff>
    </xdr:from>
    <xdr:to>
      <xdr:col>11</xdr:col>
      <xdr:colOff>0</xdr:colOff>
      <xdr:row>1230</xdr:row>
      <xdr:rowOff>114300</xdr:rowOff>
    </xdr:to>
    <xdr:pic>
      <xdr:nvPicPr>
        <xdr:cNvPr id="23987" name="Picture 70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8424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1224</xdr:row>
      <xdr:rowOff>0</xdr:rowOff>
    </xdr:from>
    <xdr:to>
      <xdr:col>11</xdr:col>
      <xdr:colOff>0</xdr:colOff>
      <xdr:row>1227</xdr:row>
      <xdr:rowOff>95250</xdr:rowOff>
    </xdr:to>
    <xdr:pic>
      <xdr:nvPicPr>
        <xdr:cNvPr id="23988" name="Picture 70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86325" y="1860804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0</xdr:rowOff>
    </xdr:from>
    <xdr:to>
      <xdr:col>11</xdr:col>
      <xdr:colOff>0</xdr:colOff>
      <xdr:row>1230</xdr:row>
      <xdr:rowOff>114300</xdr:rowOff>
    </xdr:to>
    <xdr:pic>
      <xdr:nvPicPr>
        <xdr:cNvPr id="23989" name="Picture 70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8424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1230</xdr:row>
      <xdr:rowOff>47625</xdr:rowOff>
    </xdr:from>
    <xdr:to>
      <xdr:col>11</xdr:col>
      <xdr:colOff>0</xdr:colOff>
      <xdr:row>1234</xdr:row>
      <xdr:rowOff>114300</xdr:rowOff>
    </xdr:to>
    <xdr:pic>
      <xdr:nvPicPr>
        <xdr:cNvPr id="23990" name="Picture 70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70424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1228</xdr:row>
      <xdr:rowOff>47625</xdr:rowOff>
    </xdr:from>
    <xdr:to>
      <xdr:col>11</xdr:col>
      <xdr:colOff>0</xdr:colOff>
      <xdr:row>1232</xdr:row>
      <xdr:rowOff>114300</xdr:rowOff>
    </xdr:to>
    <xdr:pic>
      <xdr:nvPicPr>
        <xdr:cNvPr id="23991" name="Picture 71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7376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1222</xdr:row>
      <xdr:rowOff>0</xdr:rowOff>
    </xdr:from>
    <xdr:to>
      <xdr:col>11</xdr:col>
      <xdr:colOff>0</xdr:colOff>
      <xdr:row>1225</xdr:row>
      <xdr:rowOff>95250</xdr:rowOff>
    </xdr:to>
    <xdr:pic>
      <xdr:nvPicPr>
        <xdr:cNvPr id="23992" name="Picture 71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86325" y="1857756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1228</xdr:row>
      <xdr:rowOff>47625</xdr:rowOff>
    </xdr:from>
    <xdr:to>
      <xdr:col>11</xdr:col>
      <xdr:colOff>0</xdr:colOff>
      <xdr:row>1232</xdr:row>
      <xdr:rowOff>114300</xdr:rowOff>
    </xdr:to>
    <xdr:pic>
      <xdr:nvPicPr>
        <xdr:cNvPr id="23993" name="Picture 71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7376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1228</xdr:row>
      <xdr:rowOff>0</xdr:rowOff>
    </xdr:from>
    <xdr:to>
      <xdr:col>11</xdr:col>
      <xdr:colOff>0</xdr:colOff>
      <xdr:row>1229</xdr:row>
      <xdr:rowOff>114300</xdr:rowOff>
    </xdr:to>
    <xdr:pic>
      <xdr:nvPicPr>
        <xdr:cNvPr id="23994" name="Picture 71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6900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1223</xdr:row>
      <xdr:rowOff>0</xdr:rowOff>
    </xdr:from>
    <xdr:to>
      <xdr:col>11</xdr:col>
      <xdr:colOff>0</xdr:colOff>
      <xdr:row>1226</xdr:row>
      <xdr:rowOff>95250</xdr:rowOff>
    </xdr:to>
    <xdr:pic>
      <xdr:nvPicPr>
        <xdr:cNvPr id="23995" name="Picture 71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86325" y="1859280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1228</xdr:row>
      <xdr:rowOff>0</xdr:rowOff>
    </xdr:from>
    <xdr:to>
      <xdr:col>11</xdr:col>
      <xdr:colOff>0</xdr:colOff>
      <xdr:row>1229</xdr:row>
      <xdr:rowOff>114300</xdr:rowOff>
    </xdr:to>
    <xdr:pic>
      <xdr:nvPicPr>
        <xdr:cNvPr id="23996" name="Picture 71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6900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47625</xdr:rowOff>
    </xdr:from>
    <xdr:to>
      <xdr:col>11</xdr:col>
      <xdr:colOff>0</xdr:colOff>
      <xdr:row>1233</xdr:row>
      <xdr:rowOff>114300</xdr:rowOff>
    </xdr:to>
    <xdr:pic>
      <xdr:nvPicPr>
        <xdr:cNvPr id="23997" name="Picture 71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8900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1224</xdr:row>
      <xdr:rowOff>0</xdr:rowOff>
    </xdr:from>
    <xdr:to>
      <xdr:col>11</xdr:col>
      <xdr:colOff>0</xdr:colOff>
      <xdr:row>1227</xdr:row>
      <xdr:rowOff>95250</xdr:rowOff>
    </xdr:to>
    <xdr:pic>
      <xdr:nvPicPr>
        <xdr:cNvPr id="23998" name="Picture 71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86325" y="1860804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1230</xdr:row>
      <xdr:rowOff>47625</xdr:rowOff>
    </xdr:from>
    <xdr:to>
      <xdr:col>11</xdr:col>
      <xdr:colOff>0</xdr:colOff>
      <xdr:row>1234</xdr:row>
      <xdr:rowOff>114300</xdr:rowOff>
    </xdr:to>
    <xdr:pic>
      <xdr:nvPicPr>
        <xdr:cNvPr id="23999" name="Picture 71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70424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1230</xdr:row>
      <xdr:rowOff>47625</xdr:rowOff>
    </xdr:from>
    <xdr:to>
      <xdr:col>11</xdr:col>
      <xdr:colOff>0</xdr:colOff>
      <xdr:row>1234</xdr:row>
      <xdr:rowOff>114300</xdr:rowOff>
    </xdr:to>
    <xdr:pic>
      <xdr:nvPicPr>
        <xdr:cNvPr id="24000" name="Picture 71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70424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1224</xdr:row>
      <xdr:rowOff>0</xdr:rowOff>
    </xdr:from>
    <xdr:to>
      <xdr:col>11</xdr:col>
      <xdr:colOff>0</xdr:colOff>
      <xdr:row>1227</xdr:row>
      <xdr:rowOff>95250</xdr:rowOff>
    </xdr:to>
    <xdr:pic>
      <xdr:nvPicPr>
        <xdr:cNvPr id="24001" name="Picture 72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86325" y="1860804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1230</xdr:row>
      <xdr:rowOff>47625</xdr:rowOff>
    </xdr:from>
    <xdr:to>
      <xdr:col>11</xdr:col>
      <xdr:colOff>0</xdr:colOff>
      <xdr:row>1234</xdr:row>
      <xdr:rowOff>114300</xdr:rowOff>
    </xdr:to>
    <xdr:pic>
      <xdr:nvPicPr>
        <xdr:cNvPr id="24002" name="Picture 72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70424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1230</xdr:row>
      <xdr:rowOff>0</xdr:rowOff>
    </xdr:from>
    <xdr:to>
      <xdr:col>11</xdr:col>
      <xdr:colOff>0</xdr:colOff>
      <xdr:row>1231</xdr:row>
      <xdr:rowOff>114300</xdr:rowOff>
    </xdr:to>
    <xdr:pic>
      <xdr:nvPicPr>
        <xdr:cNvPr id="24003" name="Picture 72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9948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1225</xdr:row>
      <xdr:rowOff>0</xdr:rowOff>
    </xdr:from>
    <xdr:to>
      <xdr:col>11</xdr:col>
      <xdr:colOff>0</xdr:colOff>
      <xdr:row>1228</xdr:row>
      <xdr:rowOff>95250</xdr:rowOff>
    </xdr:to>
    <xdr:pic>
      <xdr:nvPicPr>
        <xdr:cNvPr id="24004" name="Picture 72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86325" y="1862328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1230</xdr:row>
      <xdr:rowOff>0</xdr:rowOff>
    </xdr:from>
    <xdr:to>
      <xdr:col>11</xdr:col>
      <xdr:colOff>0</xdr:colOff>
      <xdr:row>1231</xdr:row>
      <xdr:rowOff>114300</xdr:rowOff>
    </xdr:to>
    <xdr:pic>
      <xdr:nvPicPr>
        <xdr:cNvPr id="24005" name="Picture 72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9948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1231</xdr:row>
      <xdr:rowOff>47625</xdr:rowOff>
    </xdr:from>
    <xdr:to>
      <xdr:col>11</xdr:col>
      <xdr:colOff>0</xdr:colOff>
      <xdr:row>1235</xdr:row>
      <xdr:rowOff>114300</xdr:rowOff>
    </xdr:to>
    <xdr:pic>
      <xdr:nvPicPr>
        <xdr:cNvPr id="24006" name="Picture 72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71948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47625</xdr:rowOff>
    </xdr:from>
    <xdr:to>
      <xdr:col>11</xdr:col>
      <xdr:colOff>0</xdr:colOff>
      <xdr:row>1233</xdr:row>
      <xdr:rowOff>114300</xdr:rowOff>
    </xdr:to>
    <xdr:pic>
      <xdr:nvPicPr>
        <xdr:cNvPr id="24007" name="Picture 72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8900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1223</xdr:row>
      <xdr:rowOff>0</xdr:rowOff>
    </xdr:from>
    <xdr:to>
      <xdr:col>11</xdr:col>
      <xdr:colOff>0</xdr:colOff>
      <xdr:row>1226</xdr:row>
      <xdr:rowOff>95250</xdr:rowOff>
    </xdr:to>
    <xdr:pic>
      <xdr:nvPicPr>
        <xdr:cNvPr id="24008" name="Picture 72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86325" y="1859280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47625</xdr:rowOff>
    </xdr:from>
    <xdr:to>
      <xdr:col>11</xdr:col>
      <xdr:colOff>0</xdr:colOff>
      <xdr:row>1233</xdr:row>
      <xdr:rowOff>114300</xdr:rowOff>
    </xdr:to>
    <xdr:pic>
      <xdr:nvPicPr>
        <xdr:cNvPr id="24009" name="Picture 72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8900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0</xdr:rowOff>
    </xdr:from>
    <xdr:to>
      <xdr:col>11</xdr:col>
      <xdr:colOff>0</xdr:colOff>
      <xdr:row>1230</xdr:row>
      <xdr:rowOff>114300</xdr:rowOff>
    </xdr:to>
    <xdr:pic>
      <xdr:nvPicPr>
        <xdr:cNvPr id="24010" name="Picture 72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8424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1224</xdr:row>
      <xdr:rowOff>0</xdr:rowOff>
    </xdr:from>
    <xdr:to>
      <xdr:col>11</xdr:col>
      <xdr:colOff>0</xdr:colOff>
      <xdr:row>1227</xdr:row>
      <xdr:rowOff>95250</xdr:rowOff>
    </xdr:to>
    <xdr:pic>
      <xdr:nvPicPr>
        <xdr:cNvPr id="24011" name="Picture 73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86325" y="1860804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0</xdr:rowOff>
    </xdr:from>
    <xdr:to>
      <xdr:col>11</xdr:col>
      <xdr:colOff>0</xdr:colOff>
      <xdr:row>1230</xdr:row>
      <xdr:rowOff>114300</xdr:rowOff>
    </xdr:to>
    <xdr:pic>
      <xdr:nvPicPr>
        <xdr:cNvPr id="24012" name="Picture 73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8424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1230</xdr:row>
      <xdr:rowOff>47625</xdr:rowOff>
    </xdr:from>
    <xdr:to>
      <xdr:col>11</xdr:col>
      <xdr:colOff>0</xdr:colOff>
      <xdr:row>1234</xdr:row>
      <xdr:rowOff>114300</xdr:rowOff>
    </xdr:to>
    <xdr:pic>
      <xdr:nvPicPr>
        <xdr:cNvPr id="24013" name="Picture 73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70424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1228</xdr:row>
      <xdr:rowOff>47625</xdr:rowOff>
    </xdr:from>
    <xdr:to>
      <xdr:col>11</xdr:col>
      <xdr:colOff>0</xdr:colOff>
      <xdr:row>1232</xdr:row>
      <xdr:rowOff>114300</xdr:rowOff>
    </xdr:to>
    <xdr:pic>
      <xdr:nvPicPr>
        <xdr:cNvPr id="24014" name="Picture 73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7376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1222</xdr:row>
      <xdr:rowOff>0</xdr:rowOff>
    </xdr:from>
    <xdr:to>
      <xdr:col>11</xdr:col>
      <xdr:colOff>0</xdr:colOff>
      <xdr:row>1225</xdr:row>
      <xdr:rowOff>95250</xdr:rowOff>
    </xdr:to>
    <xdr:pic>
      <xdr:nvPicPr>
        <xdr:cNvPr id="24015" name="Picture 73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86325" y="1857756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1228</xdr:row>
      <xdr:rowOff>47625</xdr:rowOff>
    </xdr:from>
    <xdr:to>
      <xdr:col>11</xdr:col>
      <xdr:colOff>0</xdr:colOff>
      <xdr:row>1232</xdr:row>
      <xdr:rowOff>114300</xdr:rowOff>
    </xdr:to>
    <xdr:pic>
      <xdr:nvPicPr>
        <xdr:cNvPr id="24016" name="Picture 73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7376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1228</xdr:row>
      <xdr:rowOff>0</xdr:rowOff>
    </xdr:from>
    <xdr:to>
      <xdr:col>11</xdr:col>
      <xdr:colOff>0</xdr:colOff>
      <xdr:row>1229</xdr:row>
      <xdr:rowOff>114300</xdr:rowOff>
    </xdr:to>
    <xdr:pic>
      <xdr:nvPicPr>
        <xdr:cNvPr id="24017" name="Picture 73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6900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1223</xdr:row>
      <xdr:rowOff>0</xdr:rowOff>
    </xdr:from>
    <xdr:to>
      <xdr:col>11</xdr:col>
      <xdr:colOff>0</xdr:colOff>
      <xdr:row>1226</xdr:row>
      <xdr:rowOff>95250</xdr:rowOff>
    </xdr:to>
    <xdr:pic>
      <xdr:nvPicPr>
        <xdr:cNvPr id="24018" name="Picture 73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86325" y="1859280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1228</xdr:row>
      <xdr:rowOff>0</xdr:rowOff>
    </xdr:from>
    <xdr:to>
      <xdr:col>11</xdr:col>
      <xdr:colOff>0</xdr:colOff>
      <xdr:row>1229</xdr:row>
      <xdr:rowOff>114300</xdr:rowOff>
    </xdr:to>
    <xdr:pic>
      <xdr:nvPicPr>
        <xdr:cNvPr id="24019" name="Picture 73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6900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1221</xdr:row>
      <xdr:rowOff>161925</xdr:rowOff>
    </xdr:from>
    <xdr:to>
      <xdr:col>12</xdr:col>
      <xdr:colOff>9525</xdr:colOff>
      <xdr:row>1225</xdr:row>
      <xdr:rowOff>85725</xdr:rowOff>
    </xdr:to>
    <xdr:pic>
      <xdr:nvPicPr>
        <xdr:cNvPr id="24020" name="Picture 79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86325" y="185775600"/>
          <a:ext cx="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1222</xdr:row>
      <xdr:rowOff>0</xdr:rowOff>
    </xdr:from>
    <xdr:to>
      <xdr:col>11</xdr:col>
      <xdr:colOff>0</xdr:colOff>
      <xdr:row>1225</xdr:row>
      <xdr:rowOff>95250</xdr:rowOff>
    </xdr:to>
    <xdr:pic>
      <xdr:nvPicPr>
        <xdr:cNvPr id="24021" name="Picture 84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86325" y="1857756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1228</xdr:row>
      <xdr:rowOff>47625</xdr:rowOff>
    </xdr:from>
    <xdr:to>
      <xdr:col>11</xdr:col>
      <xdr:colOff>0</xdr:colOff>
      <xdr:row>1232</xdr:row>
      <xdr:rowOff>114300</xdr:rowOff>
    </xdr:to>
    <xdr:pic>
      <xdr:nvPicPr>
        <xdr:cNvPr id="24022" name="Picture 84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7376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1222</xdr:row>
      <xdr:rowOff>0</xdr:rowOff>
    </xdr:from>
    <xdr:to>
      <xdr:col>11</xdr:col>
      <xdr:colOff>0</xdr:colOff>
      <xdr:row>1225</xdr:row>
      <xdr:rowOff>95250</xdr:rowOff>
    </xdr:to>
    <xdr:pic>
      <xdr:nvPicPr>
        <xdr:cNvPr id="24023" name="Picture 84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86325" y="1857756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1228</xdr:row>
      <xdr:rowOff>47625</xdr:rowOff>
    </xdr:from>
    <xdr:to>
      <xdr:col>11</xdr:col>
      <xdr:colOff>0</xdr:colOff>
      <xdr:row>1232</xdr:row>
      <xdr:rowOff>114300</xdr:rowOff>
    </xdr:to>
    <xdr:pic>
      <xdr:nvPicPr>
        <xdr:cNvPr id="24024" name="Picture 84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7376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1223</xdr:row>
      <xdr:rowOff>0</xdr:rowOff>
    </xdr:from>
    <xdr:to>
      <xdr:col>11</xdr:col>
      <xdr:colOff>0</xdr:colOff>
      <xdr:row>1226</xdr:row>
      <xdr:rowOff>95250</xdr:rowOff>
    </xdr:to>
    <xdr:pic>
      <xdr:nvPicPr>
        <xdr:cNvPr id="24025" name="Picture 8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86325" y="1859280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1228</xdr:row>
      <xdr:rowOff>0</xdr:rowOff>
    </xdr:from>
    <xdr:to>
      <xdr:col>11</xdr:col>
      <xdr:colOff>0</xdr:colOff>
      <xdr:row>1229</xdr:row>
      <xdr:rowOff>114300</xdr:rowOff>
    </xdr:to>
    <xdr:pic>
      <xdr:nvPicPr>
        <xdr:cNvPr id="24026" name="Picture 85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6900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1223</xdr:row>
      <xdr:rowOff>0</xdr:rowOff>
    </xdr:from>
    <xdr:to>
      <xdr:col>11</xdr:col>
      <xdr:colOff>0</xdr:colOff>
      <xdr:row>1226</xdr:row>
      <xdr:rowOff>95250</xdr:rowOff>
    </xdr:to>
    <xdr:pic>
      <xdr:nvPicPr>
        <xdr:cNvPr id="24027" name="Picture 85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86325" y="1859280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1228</xdr:row>
      <xdr:rowOff>0</xdr:rowOff>
    </xdr:from>
    <xdr:to>
      <xdr:col>11</xdr:col>
      <xdr:colOff>0</xdr:colOff>
      <xdr:row>1229</xdr:row>
      <xdr:rowOff>114300</xdr:rowOff>
    </xdr:to>
    <xdr:pic>
      <xdr:nvPicPr>
        <xdr:cNvPr id="24028" name="Picture 85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6900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1223</xdr:row>
      <xdr:rowOff>0</xdr:rowOff>
    </xdr:from>
    <xdr:to>
      <xdr:col>11</xdr:col>
      <xdr:colOff>0</xdr:colOff>
      <xdr:row>1226</xdr:row>
      <xdr:rowOff>95250</xdr:rowOff>
    </xdr:to>
    <xdr:pic>
      <xdr:nvPicPr>
        <xdr:cNvPr id="24029" name="Picture 85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86325" y="1859280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47625</xdr:rowOff>
    </xdr:from>
    <xdr:to>
      <xdr:col>11</xdr:col>
      <xdr:colOff>0</xdr:colOff>
      <xdr:row>1233</xdr:row>
      <xdr:rowOff>114300</xdr:rowOff>
    </xdr:to>
    <xdr:pic>
      <xdr:nvPicPr>
        <xdr:cNvPr id="24030" name="Picture 85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8900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1221</xdr:row>
      <xdr:rowOff>0</xdr:rowOff>
    </xdr:from>
    <xdr:to>
      <xdr:col>11</xdr:col>
      <xdr:colOff>0</xdr:colOff>
      <xdr:row>1224</xdr:row>
      <xdr:rowOff>95250</xdr:rowOff>
    </xdr:to>
    <xdr:pic>
      <xdr:nvPicPr>
        <xdr:cNvPr id="24031" name="Picture 85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86325" y="1856232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1227</xdr:row>
      <xdr:rowOff>47625</xdr:rowOff>
    </xdr:from>
    <xdr:to>
      <xdr:col>11</xdr:col>
      <xdr:colOff>0</xdr:colOff>
      <xdr:row>1231</xdr:row>
      <xdr:rowOff>114300</xdr:rowOff>
    </xdr:to>
    <xdr:pic>
      <xdr:nvPicPr>
        <xdr:cNvPr id="24032" name="Picture 85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5852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1221</xdr:row>
      <xdr:rowOff>0</xdr:rowOff>
    </xdr:from>
    <xdr:to>
      <xdr:col>11</xdr:col>
      <xdr:colOff>0</xdr:colOff>
      <xdr:row>1224</xdr:row>
      <xdr:rowOff>95250</xdr:rowOff>
    </xdr:to>
    <xdr:pic>
      <xdr:nvPicPr>
        <xdr:cNvPr id="24033" name="Picture 85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86325" y="1856232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1227</xdr:row>
      <xdr:rowOff>47625</xdr:rowOff>
    </xdr:from>
    <xdr:to>
      <xdr:col>11</xdr:col>
      <xdr:colOff>0</xdr:colOff>
      <xdr:row>1231</xdr:row>
      <xdr:rowOff>114300</xdr:rowOff>
    </xdr:to>
    <xdr:pic>
      <xdr:nvPicPr>
        <xdr:cNvPr id="24034" name="Picture 85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5852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1222</xdr:row>
      <xdr:rowOff>0</xdr:rowOff>
    </xdr:from>
    <xdr:to>
      <xdr:col>11</xdr:col>
      <xdr:colOff>0</xdr:colOff>
      <xdr:row>1225</xdr:row>
      <xdr:rowOff>95250</xdr:rowOff>
    </xdr:to>
    <xdr:pic>
      <xdr:nvPicPr>
        <xdr:cNvPr id="24035" name="Picture 86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86325" y="1857756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1227</xdr:row>
      <xdr:rowOff>0</xdr:rowOff>
    </xdr:from>
    <xdr:to>
      <xdr:col>11</xdr:col>
      <xdr:colOff>0</xdr:colOff>
      <xdr:row>1228</xdr:row>
      <xdr:rowOff>114300</xdr:rowOff>
    </xdr:to>
    <xdr:pic>
      <xdr:nvPicPr>
        <xdr:cNvPr id="24036" name="Picture 86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5376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1222</xdr:row>
      <xdr:rowOff>0</xdr:rowOff>
    </xdr:from>
    <xdr:to>
      <xdr:col>11</xdr:col>
      <xdr:colOff>0</xdr:colOff>
      <xdr:row>1225</xdr:row>
      <xdr:rowOff>95250</xdr:rowOff>
    </xdr:to>
    <xdr:pic>
      <xdr:nvPicPr>
        <xdr:cNvPr id="24037" name="Picture 86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86325" y="1857756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1227</xdr:row>
      <xdr:rowOff>0</xdr:rowOff>
    </xdr:from>
    <xdr:to>
      <xdr:col>11</xdr:col>
      <xdr:colOff>0</xdr:colOff>
      <xdr:row>1228</xdr:row>
      <xdr:rowOff>114300</xdr:rowOff>
    </xdr:to>
    <xdr:pic>
      <xdr:nvPicPr>
        <xdr:cNvPr id="24038" name="Picture 86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5376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1222</xdr:row>
      <xdr:rowOff>0</xdr:rowOff>
    </xdr:from>
    <xdr:to>
      <xdr:col>11</xdr:col>
      <xdr:colOff>0</xdr:colOff>
      <xdr:row>1225</xdr:row>
      <xdr:rowOff>95250</xdr:rowOff>
    </xdr:to>
    <xdr:pic>
      <xdr:nvPicPr>
        <xdr:cNvPr id="24039" name="Picture 86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86325" y="1857756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1228</xdr:row>
      <xdr:rowOff>47625</xdr:rowOff>
    </xdr:from>
    <xdr:to>
      <xdr:col>11</xdr:col>
      <xdr:colOff>0</xdr:colOff>
      <xdr:row>1232</xdr:row>
      <xdr:rowOff>114300</xdr:rowOff>
    </xdr:to>
    <xdr:pic>
      <xdr:nvPicPr>
        <xdr:cNvPr id="24040" name="Picture 86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7376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1220</xdr:row>
      <xdr:rowOff>0</xdr:rowOff>
    </xdr:from>
    <xdr:to>
      <xdr:col>11</xdr:col>
      <xdr:colOff>0</xdr:colOff>
      <xdr:row>1223</xdr:row>
      <xdr:rowOff>95250</xdr:rowOff>
    </xdr:to>
    <xdr:pic>
      <xdr:nvPicPr>
        <xdr:cNvPr id="24041" name="Picture 86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86325" y="1854708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1226</xdr:row>
      <xdr:rowOff>47625</xdr:rowOff>
    </xdr:from>
    <xdr:to>
      <xdr:col>11</xdr:col>
      <xdr:colOff>0</xdr:colOff>
      <xdr:row>1230</xdr:row>
      <xdr:rowOff>114300</xdr:rowOff>
    </xdr:to>
    <xdr:pic>
      <xdr:nvPicPr>
        <xdr:cNvPr id="24042" name="Picture 86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4328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1220</xdr:row>
      <xdr:rowOff>0</xdr:rowOff>
    </xdr:from>
    <xdr:to>
      <xdr:col>11</xdr:col>
      <xdr:colOff>0</xdr:colOff>
      <xdr:row>1223</xdr:row>
      <xdr:rowOff>95250</xdr:rowOff>
    </xdr:to>
    <xdr:pic>
      <xdr:nvPicPr>
        <xdr:cNvPr id="24043" name="Picture 86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86325" y="1854708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1226</xdr:row>
      <xdr:rowOff>47625</xdr:rowOff>
    </xdr:from>
    <xdr:to>
      <xdr:col>11</xdr:col>
      <xdr:colOff>0</xdr:colOff>
      <xdr:row>1230</xdr:row>
      <xdr:rowOff>114300</xdr:rowOff>
    </xdr:to>
    <xdr:pic>
      <xdr:nvPicPr>
        <xdr:cNvPr id="24044" name="Picture 86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4328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1221</xdr:row>
      <xdr:rowOff>0</xdr:rowOff>
    </xdr:from>
    <xdr:to>
      <xdr:col>11</xdr:col>
      <xdr:colOff>0</xdr:colOff>
      <xdr:row>1224</xdr:row>
      <xdr:rowOff>95250</xdr:rowOff>
    </xdr:to>
    <xdr:pic>
      <xdr:nvPicPr>
        <xdr:cNvPr id="24045" name="Picture 87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86325" y="1856232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1226</xdr:row>
      <xdr:rowOff>0</xdr:rowOff>
    </xdr:from>
    <xdr:to>
      <xdr:col>11</xdr:col>
      <xdr:colOff>0</xdr:colOff>
      <xdr:row>1227</xdr:row>
      <xdr:rowOff>114300</xdr:rowOff>
    </xdr:to>
    <xdr:pic>
      <xdr:nvPicPr>
        <xdr:cNvPr id="24046" name="Picture 87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3852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1221</xdr:row>
      <xdr:rowOff>0</xdr:rowOff>
    </xdr:from>
    <xdr:to>
      <xdr:col>11</xdr:col>
      <xdr:colOff>0</xdr:colOff>
      <xdr:row>1224</xdr:row>
      <xdr:rowOff>95250</xdr:rowOff>
    </xdr:to>
    <xdr:pic>
      <xdr:nvPicPr>
        <xdr:cNvPr id="24047" name="Picture 87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86325" y="1856232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1226</xdr:row>
      <xdr:rowOff>0</xdr:rowOff>
    </xdr:from>
    <xdr:to>
      <xdr:col>11</xdr:col>
      <xdr:colOff>0</xdr:colOff>
      <xdr:row>1227</xdr:row>
      <xdr:rowOff>114300</xdr:rowOff>
    </xdr:to>
    <xdr:pic>
      <xdr:nvPicPr>
        <xdr:cNvPr id="24048" name="Picture 87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3852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1221</xdr:row>
      <xdr:rowOff>0</xdr:rowOff>
    </xdr:from>
    <xdr:to>
      <xdr:col>11</xdr:col>
      <xdr:colOff>0</xdr:colOff>
      <xdr:row>1224</xdr:row>
      <xdr:rowOff>95250</xdr:rowOff>
    </xdr:to>
    <xdr:pic>
      <xdr:nvPicPr>
        <xdr:cNvPr id="24049" name="Picture 87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86325" y="1856232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1227</xdr:row>
      <xdr:rowOff>47625</xdr:rowOff>
    </xdr:from>
    <xdr:to>
      <xdr:col>11</xdr:col>
      <xdr:colOff>0</xdr:colOff>
      <xdr:row>1231</xdr:row>
      <xdr:rowOff>114300</xdr:rowOff>
    </xdr:to>
    <xdr:pic>
      <xdr:nvPicPr>
        <xdr:cNvPr id="24050" name="Picture 87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5852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1222</xdr:row>
      <xdr:rowOff>0</xdr:rowOff>
    </xdr:from>
    <xdr:to>
      <xdr:col>11</xdr:col>
      <xdr:colOff>0</xdr:colOff>
      <xdr:row>1225</xdr:row>
      <xdr:rowOff>95250</xdr:rowOff>
    </xdr:to>
    <xdr:pic>
      <xdr:nvPicPr>
        <xdr:cNvPr id="24051" name="Picture 87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86325" y="1857756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1228</xdr:row>
      <xdr:rowOff>47625</xdr:rowOff>
    </xdr:from>
    <xdr:to>
      <xdr:col>11</xdr:col>
      <xdr:colOff>0</xdr:colOff>
      <xdr:row>1232</xdr:row>
      <xdr:rowOff>114300</xdr:rowOff>
    </xdr:to>
    <xdr:pic>
      <xdr:nvPicPr>
        <xdr:cNvPr id="24052" name="Picture 87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7376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1222</xdr:row>
      <xdr:rowOff>0</xdr:rowOff>
    </xdr:from>
    <xdr:to>
      <xdr:col>11</xdr:col>
      <xdr:colOff>0</xdr:colOff>
      <xdr:row>1225</xdr:row>
      <xdr:rowOff>95250</xdr:rowOff>
    </xdr:to>
    <xdr:pic>
      <xdr:nvPicPr>
        <xdr:cNvPr id="24053" name="Picture 87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86325" y="1857756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1228</xdr:row>
      <xdr:rowOff>47625</xdr:rowOff>
    </xdr:from>
    <xdr:to>
      <xdr:col>11</xdr:col>
      <xdr:colOff>0</xdr:colOff>
      <xdr:row>1232</xdr:row>
      <xdr:rowOff>114300</xdr:rowOff>
    </xdr:to>
    <xdr:pic>
      <xdr:nvPicPr>
        <xdr:cNvPr id="24054" name="Picture 87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7376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1222</xdr:row>
      <xdr:rowOff>0</xdr:rowOff>
    </xdr:from>
    <xdr:to>
      <xdr:col>11</xdr:col>
      <xdr:colOff>0</xdr:colOff>
      <xdr:row>1225</xdr:row>
      <xdr:rowOff>95250</xdr:rowOff>
    </xdr:to>
    <xdr:pic>
      <xdr:nvPicPr>
        <xdr:cNvPr id="24055" name="Picture 88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86325" y="1857756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1228</xdr:row>
      <xdr:rowOff>47625</xdr:rowOff>
    </xdr:from>
    <xdr:to>
      <xdr:col>11</xdr:col>
      <xdr:colOff>0</xdr:colOff>
      <xdr:row>1232</xdr:row>
      <xdr:rowOff>114300</xdr:rowOff>
    </xdr:to>
    <xdr:pic>
      <xdr:nvPicPr>
        <xdr:cNvPr id="24056" name="Picture 88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7376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1223</xdr:row>
      <xdr:rowOff>0</xdr:rowOff>
    </xdr:from>
    <xdr:to>
      <xdr:col>11</xdr:col>
      <xdr:colOff>0</xdr:colOff>
      <xdr:row>1226</xdr:row>
      <xdr:rowOff>95250</xdr:rowOff>
    </xdr:to>
    <xdr:pic>
      <xdr:nvPicPr>
        <xdr:cNvPr id="24057" name="Picture 88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86325" y="1859280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1228</xdr:row>
      <xdr:rowOff>0</xdr:rowOff>
    </xdr:from>
    <xdr:to>
      <xdr:col>11</xdr:col>
      <xdr:colOff>0</xdr:colOff>
      <xdr:row>1229</xdr:row>
      <xdr:rowOff>114300</xdr:rowOff>
    </xdr:to>
    <xdr:pic>
      <xdr:nvPicPr>
        <xdr:cNvPr id="24058" name="Picture 88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6900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1223</xdr:row>
      <xdr:rowOff>0</xdr:rowOff>
    </xdr:from>
    <xdr:to>
      <xdr:col>11</xdr:col>
      <xdr:colOff>0</xdr:colOff>
      <xdr:row>1226</xdr:row>
      <xdr:rowOff>95250</xdr:rowOff>
    </xdr:to>
    <xdr:pic>
      <xdr:nvPicPr>
        <xdr:cNvPr id="24059" name="Picture 88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86325" y="1859280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1228</xdr:row>
      <xdr:rowOff>0</xdr:rowOff>
    </xdr:from>
    <xdr:to>
      <xdr:col>11</xdr:col>
      <xdr:colOff>0</xdr:colOff>
      <xdr:row>1229</xdr:row>
      <xdr:rowOff>114300</xdr:rowOff>
    </xdr:to>
    <xdr:pic>
      <xdr:nvPicPr>
        <xdr:cNvPr id="24060" name="Picture 88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6900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1223</xdr:row>
      <xdr:rowOff>0</xdr:rowOff>
    </xdr:from>
    <xdr:to>
      <xdr:col>11</xdr:col>
      <xdr:colOff>0</xdr:colOff>
      <xdr:row>1226</xdr:row>
      <xdr:rowOff>95250</xdr:rowOff>
    </xdr:to>
    <xdr:pic>
      <xdr:nvPicPr>
        <xdr:cNvPr id="24061" name="Picture 88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86325" y="1859280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47625</xdr:rowOff>
    </xdr:from>
    <xdr:to>
      <xdr:col>11</xdr:col>
      <xdr:colOff>0</xdr:colOff>
      <xdr:row>1233</xdr:row>
      <xdr:rowOff>114300</xdr:rowOff>
    </xdr:to>
    <xdr:pic>
      <xdr:nvPicPr>
        <xdr:cNvPr id="24062" name="Picture 88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8900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1221</xdr:row>
      <xdr:rowOff>0</xdr:rowOff>
    </xdr:from>
    <xdr:to>
      <xdr:col>11</xdr:col>
      <xdr:colOff>0</xdr:colOff>
      <xdr:row>1224</xdr:row>
      <xdr:rowOff>95250</xdr:rowOff>
    </xdr:to>
    <xdr:pic>
      <xdr:nvPicPr>
        <xdr:cNvPr id="24063" name="Picture 88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86325" y="1856232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1227</xdr:row>
      <xdr:rowOff>47625</xdr:rowOff>
    </xdr:from>
    <xdr:to>
      <xdr:col>11</xdr:col>
      <xdr:colOff>0</xdr:colOff>
      <xdr:row>1231</xdr:row>
      <xdr:rowOff>114300</xdr:rowOff>
    </xdr:to>
    <xdr:pic>
      <xdr:nvPicPr>
        <xdr:cNvPr id="24064" name="Picture 88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5852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1221</xdr:row>
      <xdr:rowOff>0</xdr:rowOff>
    </xdr:from>
    <xdr:to>
      <xdr:col>11</xdr:col>
      <xdr:colOff>0</xdr:colOff>
      <xdr:row>1224</xdr:row>
      <xdr:rowOff>95250</xdr:rowOff>
    </xdr:to>
    <xdr:pic>
      <xdr:nvPicPr>
        <xdr:cNvPr id="24065" name="Picture 89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86325" y="1856232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1227</xdr:row>
      <xdr:rowOff>47625</xdr:rowOff>
    </xdr:from>
    <xdr:to>
      <xdr:col>11</xdr:col>
      <xdr:colOff>0</xdr:colOff>
      <xdr:row>1231</xdr:row>
      <xdr:rowOff>114300</xdr:rowOff>
    </xdr:to>
    <xdr:pic>
      <xdr:nvPicPr>
        <xdr:cNvPr id="24066" name="Picture 89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5852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1222</xdr:row>
      <xdr:rowOff>0</xdr:rowOff>
    </xdr:from>
    <xdr:to>
      <xdr:col>11</xdr:col>
      <xdr:colOff>0</xdr:colOff>
      <xdr:row>1225</xdr:row>
      <xdr:rowOff>95250</xdr:rowOff>
    </xdr:to>
    <xdr:pic>
      <xdr:nvPicPr>
        <xdr:cNvPr id="24067" name="Picture 89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86325" y="1857756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1227</xdr:row>
      <xdr:rowOff>0</xdr:rowOff>
    </xdr:from>
    <xdr:to>
      <xdr:col>11</xdr:col>
      <xdr:colOff>0</xdr:colOff>
      <xdr:row>1228</xdr:row>
      <xdr:rowOff>114300</xdr:rowOff>
    </xdr:to>
    <xdr:pic>
      <xdr:nvPicPr>
        <xdr:cNvPr id="24068" name="Picture 89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5376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1222</xdr:row>
      <xdr:rowOff>0</xdr:rowOff>
    </xdr:from>
    <xdr:to>
      <xdr:col>11</xdr:col>
      <xdr:colOff>0</xdr:colOff>
      <xdr:row>1225</xdr:row>
      <xdr:rowOff>95250</xdr:rowOff>
    </xdr:to>
    <xdr:pic>
      <xdr:nvPicPr>
        <xdr:cNvPr id="24069" name="Picture 89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86325" y="1857756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1227</xdr:row>
      <xdr:rowOff>0</xdr:rowOff>
    </xdr:from>
    <xdr:to>
      <xdr:col>11</xdr:col>
      <xdr:colOff>0</xdr:colOff>
      <xdr:row>1228</xdr:row>
      <xdr:rowOff>114300</xdr:rowOff>
    </xdr:to>
    <xdr:pic>
      <xdr:nvPicPr>
        <xdr:cNvPr id="24070" name="Picture 89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5376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1222</xdr:row>
      <xdr:rowOff>0</xdr:rowOff>
    </xdr:from>
    <xdr:to>
      <xdr:col>11</xdr:col>
      <xdr:colOff>0</xdr:colOff>
      <xdr:row>1225</xdr:row>
      <xdr:rowOff>95250</xdr:rowOff>
    </xdr:to>
    <xdr:pic>
      <xdr:nvPicPr>
        <xdr:cNvPr id="24071" name="Picture 8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86325" y="1857756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1228</xdr:row>
      <xdr:rowOff>47625</xdr:rowOff>
    </xdr:from>
    <xdr:to>
      <xdr:col>11</xdr:col>
      <xdr:colOff>0</xdr:colOff>
      <xdr:row>1232</xdr:row>
      <xdr:rowOff>114300</xdr:rowOff>
    </xdr:to>
    <xdr:pic>
      <xdr:nvPicPr>
        <xdr:cNvPr id="24072" name="Picture 89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7376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1220</xdr:row>
      <xdr:rowOff>0</xdr:rowOff>
    </xdr:from>
    <xdr:to>
      <xdr:col>11</xdr:col>
      <xdr:colOff>0</xdr:colOff>
      <xdr:row>1223</xdr:row>
      <xdr:rowOff>95250</xdr:rowOff>
    </xdr:to>
    <xdr:pic>
      <xdr:nvPicPr>
        <xdr:cNvPr id="24073" name="Picture 89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86325" y="1854708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1226</xdr:row>
      <xdr:rowOff>47625</xdr:rowOff>
    </xdr:from>
    <xdr:to>
      <xdr:col>11</xdr:col>
      <xdr:colOff>0</xdr:colOff>
      <xdr:row>1230</xdr:row>
      <xdr:rowOff>114300</xdr:rowOff>
    </xdr:to>
    <xdr:pic>
      <xdr:nvPicPr>
        <xdr:cNvPr id="24074" name="Picture 89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4328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1220</xdr:row>
      <xdr:rowOff>0</xdr:rowOff>
    </xdr:from>
    <xdr:to>
      <xdr:col>11</xdr:col>
      <xdr:colOff>0</xdr:colOff>
      <xdr:row>1223</xdr:row>
      <xdr:rowOff>95250</xdr:rowOff>
    </xdr:to>
    <xdr:pic>
      <xdr:nvPicPr>
        <xdr:cNvPr id="24075" name="Picture 9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86325" y="1854708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1226</xdr:row>
      <xdr:rowOff>47625</xdr:rowOff>
    </xdr:from>
    <xdr:to>
      <xdr:col>11</xdr:col>
      <xdr:colOff>0</xdr:colOff>
      <xdr:row>1230</xdr:row>
      <xdr:rowOff>114300</xdr:rowOff>
    </xdr:to>
    <xdr:pic>
      <xdr:nvPicPr>
        <xdr:cNvPr id="24076" name="Picture 90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4328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1221</xdr:row>
      <xdr:rowOff>0</xdr:rowOff>
    </xdr:from>
    <xdr:to>
      <xdr:col>11</xdr:col>
      <xdr:colOff>0</xdr:colOff>
      <xdr:row>1224</xdr:row>
      <xdr:rowOff>95250</xdr:rowOff>
    </xdr:to>
    <xdr:pic>
      <xdr:nvPicPr>
        <xdr:cNvPr id="24077" name="Picture 90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86325" y="1856232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1226</xdr:row>
      <xdr:rowOff>0</xdr:rowOff>
    </xdr:from>
    <xdr:to>
      <xdr:col>11</xdr:col>
      <xdr:colOff>0</xdr:colOff>
      <xdr:row>1227</xdr:row>
      <xdr:rowOff>114300</xdr:rowOff>
    </xdr:to>
    <xdr:pic>
      <xdr:nvPicPr>
        <xdr:cNvPr id="24078" name="Picture 90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3852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1221</xdr:row>
      <xdr:rowOff>0</xdr:rowOff>
    </xdr:from>
    <xdr:to>
      <xdr:col>11</xdr:col>
      <xdr:colOff>0</xdr:colOff>
      <xdr:row>1224</xdr:row>
      <xdr:rowOff>95250</xdr:rowOff>
    </xdr:to>
    <xdr:pic>
      <xdr:nvPicPr>
        <xdr:cNvPr id="24079" name="Picture 90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86325" y="1856232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1226</xdr:row>
      <xdr:rowOff>0</xdr:rowOff>
    </xdr:from>
    <xdr:to>
      <xdr:col>11</xdr:col>
      <xdr:colOff>0</xdr:colOff>
      <xdr:row>1227</xdr:row>
      <xdr:rowOff>114300</xdr:rowOff>
    </xdr:to>
    <xdr:pic>
      <xdr:nvPicPr>
        <xdr:cNvPr id="24080" name="Picture 90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3852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1220</xdr:row>
      <xdr:rowOff>161925</xdr:rowOff>
    </xdr:from>
    <xdr:to>
      <xdr:col>11</xdr:col>
      <xdr:colOff>9525</xdr:colOff>
      <xdr:row>1224</xdr:row>
      <xdr:rowOff>85725</xdr:rowOff>
    </xdr:to>
    <xdr:pic>
      <xdr:nvPicPr>
        <xdr:cNvPr id="24081" name="Picture 90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86325" y="185623200"/>
          <a:ext cx="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1227</xdr:row>
      <xdr:rowOff>47625</xdr:rowOff>
    </xdr:from>
    <xdr:to>
      <xdr:col>11</xdr:col>
      <xdr:colOff>0</xdr:colOff>
      <xdr:row>1231</xdr:row>
      <xdr:rowOff>114300</xdr:rowOff>
    </xdr:to>
    <xdr:pic>
      <xdr:nvPicPr>
        <xdr:cNvPr id="24082" name="Picture 90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5852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1221</xdr:row>
      <xdr:rowOff>47625</xdr:rowOff>
    </xdr:from>
    <xdr:to>
      <xdr:col>11</xdr:col>
      <xdr:colOff>0</xdr:colOff>
      <xdr:row>1225</xdr:row>
      <xdr:rowOff>114300</xdr:rowOff>
    </xdr:to>
    <xdr:pic>
      <xdr:nvPicPr>
        <xdr:cNvPr id="24083" name="Picture 90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56708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1221</xdr:row>
      <xdr:rowOff>47625</xdr:rowOff>
    </xdr:from>
    <xdr:to>
      <xdr:col>11</xdr:col>
      <xdr:colOff>0</xdr:colOff>
      <xdr:row>1225</xdr:row>
      <xdr:rowOff>114300</xdr:rowOff>
    </xdr:to>
    <xdr:pic>
      <xdr:nvPicPr>
        <xdr:cNvPr id="24084" name="Picture 90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56708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1221</xdr:row>
      <xdr:rowOff>0</xdr:rowOff>
    </xdr:from>
    <xdr:to>
      <xdr:col>11</xdr:col>
      <xdr:colOff>0</xdr:colOff>
      <xdr:row>1222</xdr:row>
      <xdr:rowOff>114300</xdr:rowOff>
    </xdr:to>
    <xdr:pic>
      <xdr:nvPicPr>
        <xdr:cNvPr id="24085" name="Picture 91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56232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1221</xdr:row>
      <xdr:rowOff>0</xdr:rowOff>
    </xdr:from>
    <xdr:to>
      <xdr:col>11</xdr:col>
      <xdr:colOff>0</xdr:colOff>
      <xdr:row>1222</xdr:row>
      <xdr:rowOff>114300</xdr:rowOff>
    </xdr:to>
    <xdr:pic>
      <xdr:nvPicPr>
        <xdr:cNvPr id="24086" name="Picture 91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56232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1222</xdr:row>
      <xdr:rowOff>47625</xdr:rowOff>
    </xdr:from>
    <xdr:to>
      <xdr:col>11</xdr:col>
      <xdr:colOff>0</xdr:colOff>
      <xdr:row>1226</xdr:row>
      <xdr:rowOff>114300</xdr:rowOff>
    </xdr:to>
    <xdr:pic>
      <xdr:nvPicPr>
        <xdr:cNvPr id="24087" name="Picture 91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58232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1220</xdr:row>
      <xdr:rowOff>47625</xdr:rowOff>
    </xdr:from>
    <xdr:to>
      <xdr:col>11</xdr:col>
      <xdr:colOff>0</xdr:colOff>
      <xdr:row>1224</xdr:row>
      <xdr:rowOff>114300</xdr:rowOff>
    </xdr:to>
    <xdr:pic>
      <xdr:nvPicPr>
        <xdr:cNvPr id="24088" name="Picture 91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55184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1220</xdr:row>
      <xdr:rowOff>47625</xdr:rowOff>
    </xdr:from>
    <xdr:to>
      <xdr:col>11</xdr:col>
      <xdr:colOff>0</xdr:colOff>
      <xdr:row>1224</xdr:row>
      <xdr:rowOff>114300</xdr:rowOff>
    </xdr:to>
    <xdr:pic>
      <xdr:nvPicPr>
        <xdr:cNvPr id="24089" name="Picture 91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55184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1220</xdr:row>
      <xdr:rowOff>0</xdr:rowOff>
    </xdr:from>
    <xdr:to>
      <xdr:col>11</xdr:col>
      <xdr:colOff>0</xdr:colOff>
      <xdr:row>1221</xdr:row>
      <xdr:rowOff>114300</xdr:rowOff>
    </xdr:to>
    <xdr:pic>
      <xdr:nvPicPr>
        <xdr:cNvPr id="24090" name="Picture 91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54708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1220</xdr:row>
      <xdr:rowOff>0</xdr:rowOff>
    </xdr:from>
    <xdr:to>
      <xdr:col>11</xdr:col>
      <xdr:colOff>0</xdr:colOff>
      <xdr:row>1221</xdr:row>
      <xdr:rowOff>114300</xdr:rowOff>
    </xdr:to>
    <xdr:pic>
      <xdr:nvPicPr>
        <xdr:cNvPr id="24091" name="Picture 91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54708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1221</xdr:row>
      <xdr:rowOff>47625</xdr:rowOff>
    </xdr:from>
    <xdr:to>
      <xdr:col>11</xdr:col>
      <xdr:colOff>0</xdr:colOff>
      <xdr:row>1225</xdr:row>
      <xdr:rowOff>114300</xdr:rowOff>
    </xdr:to>
    <xdr:pic>
      <xdr:nvPicPr>
        <xdr:cNvPr id="24092" name="Picture 91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56708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1220</xdr:row>
      <xdr:rowOff>0</xdr:rowOff>
    </xdr:from>
    <xdr:to>
      <xdr:col>11</xdr:col>
      <xdr:colOff>0</xdr:colOff>
      <xdr:row>1223</xdr:row>
      <xdr:rowOff>114300</xdr:rowOff>
    </xdr:to>
    <xdr:pic>
      <xdr:nvPicPr>
        <xdr:cNvPr id="24093" name="Picture 91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5470800"/>
          <a:ext cx="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1220</xdr:row>
      <xdr:rowOff>0</xdr:rowOff>
    </xdr:from>
    <xdr:to>
      <xdr:col>11</xdr:col>
      <xdr:colOff>0</xdr:colOff>
      <xdr:row>1223</xdr:row>
      <xdr:rowOff>114300</xdr:rowOff>
    </xdr:to>
    <xdr:pic>
      <xdr:nvPicPr>
        <xdr:cNvPr id="24094" name="Picture 91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5470800"/>
          <a:ext cx="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1220</xdr:row>
      <xdr:rowOff>47625</xdr:rowOff>
    </xdr:from>
    <xdr:to>
      <xdr:col>11</xdr:col>
      <xdr:colOff>0</xdr:colOff>
      <xdr:row>1224</xdr:row>
      <xdr:rowOff>114300</xdr:rowOff>
    </xdr:to>
    <xdr:pic>
      <xdr:nvPicPr>
        <xdr:cNvPr id="24095" name="Picture 92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55184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1221</xdr:row>
      <xdr:rowOff>47625</xdr:rowOff>
    </xdr:from>
    <xdr:to>
      <xdr:col>11</xdr:col>
      <xdr:colOff>0</xdr:colOff>
      <xdr:row>1225</xdr:row>
      <xdr:rowOff>114300</xdr:rowOff>
    </xdr:to>
    <xdr:pic>
      <xdr:nvPicPr>
        <xdr:cNvPr id="24096" name="Picture 92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56708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1221</xdr:row>
      <xdr:rowOff>47625</xdr:rowOff>
    </xdr:from>
    <xdr:to>
      <xdr:col>11</xdr:col>
      <xdr:colOff>0</xdr:colOff>
      <xdr:row>1225</xdr:row>
      <xdr:rowOff>114300</xdr:rowOff>
    </xdr:to>
    <xdr:pic>
      <xdr:nvPicPr>
        <xdr:cNvPr id="24097" name="Picture 92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56708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1221</xdr:row>
      <xdr:rowOff>47625</xdr:rowOff>
    </xdr:from>
    <xdr:to>
      <xdr:col>11</xdr:col>
      <xdr:colOff>0</xdr:colOff>
      <xdr:row>1225</xdr:row>
      <xdr:rowOff>114300</xdr:rowOff>
    </xdr:to>
    <xdr:pic>
      <xdr:nvPicPr>
        <xdr:cNvPr id="24098" name="Picture 92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56708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1221</xdr:row>
      <xdr:rowOff>0</xdr:rowOff>
    </xdr:from>
    <xdr:to>
      <xdr:col>11</xdr:col>
      <xdr:colOff>0</xdr:colOff>
      <xdr:row>1222</xdr:row>
      <xdr:rowOff>114300</xdr:rowOff>
    </xdr:to>
    <xdr:pic>
      <xdr:nvPicPr>
        <xdr:cNvPr id="24099" name="Picture 92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56232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1221</xdr:row>
      <xdr:rowOff>0</xdr:rowOff>
    </xdr:from>
    <xdr:to>
      <xdr:col>11</xdr:col>
      <xdr:colOff>0</xdr:colOff>
      <xdr:row>1222</xdr:row>
      <xdr:rowOff>114300</xdr:rowOff>
    </xdr:to>
    <xdr:pic>
      <xdr:nvPicPr>
        <xdr:cNvPr id="24100" name="Picture 92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56232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1222</xdr:row>
      <xdr:rowOff>47625</xdr:rowOff>
    </xdr:from>
    <xdr:to>
      <xdr:col>11</xdr:col>
      <xdr:colOff>0</xdr:colOff>
      <xdr:row>1226</xdr:row>
      <xdr:rowOff>114300</xdr:rowOff>
    </xdr:to>
    <xdr:pic>
      <xdr:nvPicPr>
        <xdr:cNvPr id="24101" name="Picture 92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58232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1220</xdr:row>
      <xdr:rowOff>47625</xdr:rowOff>
    </xdr:from>
    <xdr:to>
      <xdr:col>11</xdr:col>
      <xdr:colOff>0</xdr:colOff>
      <xdr:row>1224</xdr:row>
      <xdr:rowOff>114300</xdr:rowOff>
    </xdr:to>
    <xdr:pic>
      <xdr:nvPicPr>
        <xdr:cNvPr id="24102" name="Picture 92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55184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1220</xdr:row>
      <xdr:rowOff>47625</xdr:rowOff>
    </xdr:from>
    <xdr:to>
      <xdr:col>11</xdr:col>
      <xdr:colOff>0</xdr:colOff>
      <xdr:row>1224</xdr:row>
      <xdr:rowOff>114300</xdr:rowOff>
    </xdr:to>
    <xdr:pic>
      <xdr:nvPicPr>
        <xdr:cNvPr id="24103" name="Picture 92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55184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1220</xdr:row>
      <xdr:rowOff>0</xdr:rowOff>
    </xdr:from>
    <xdr:to>
      <xdr:col>11</xdr:col>
      <xdr:colOff>0</xdr:colOff>
      <xdr:row>1221</xdr:row>
      <xdr:rowOff>114300</xdr:rowOff>
    </xdr:to>
    <xdr:pic>
      <xdr:nvPicPr>
        <xdr:cNvPr id="24104" name="Picture 92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54708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1220</xdr:row>
      <xdr:rowOff>0</xdr:rowOff>
    </xdr:from>
    <xdr:to>
      <xdr:col>11</xdr:col>
      <xdr:colOff>0</xdr:colOff>
      <xdr:row>1221</xdr:row>
      <xdr:rowOff>114300</xdr:rowOff>
    </xdr:to>
    <xdr:pic>
      <xdr:nvPicPr>
        <xdr:cNvPr id="24105" name="Picture 93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54708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1221</xdr:row>
      <xdr:rowOff>47625</xdr:rowOff>
    </xdr:from>
    <xdr:to>
      <xdr:col>11</xdr:col>
      <xdr:colOff>0</xdr:colOff>
      <xdr:row>1225</xdr:row>
      <xdr:rowOff>114300</xdr:rowOff>
    </xdr:to>
    <xdr:pic>
      <xdr:nvPicPr>
        <xdr:cNvPr id="24106" name="Picture 93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56708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1220</xdr:row>
      <xdr:rowOff>0</xdr:rowOff>
    </xdr:from>
    <xdr:to>
      <xdr:col>11</xdr:col>
      <xdr:colOff>0</xdr:colOff>
      <xdr:row>1223</xdr:row>
      <xdr:rowOff>114300</xdr:rowOff>
    </xdr:to>
    <xdr:pic>
      <xdr:nvPicPr>
        <xdr:cNvPr id="24107" name="Picture 93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5470800"/>
          <a:ext cx="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1220</xdr:row>
      <xdr:rowOff>0</xdr:rowOff>
    </xdr:from>
    <xdr:to>
      <xdr:col>11</xdr:col>
      <xdr:colOff>0</xdr:colOff>
      <xdr:row>1223</xdr:row>
      <xdr:rowOff>114300</xdr:rowOff>
    </xdr:to>
    <xdr:pic>
      <xdr:nvPicPr>
        <xdr:cNvPr id="24108" name="Picture 93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5470800"/>
          <a:ext cx="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1220</xdr:row>
      <xdr:rowOff>47625</xdr:rowOff>
    </xdr:from>
    <xdr:to>
      <xdr:col>11</xdr:col>
      <xdr:colOff>0</xdr:colOff>
      <xdr:row>1224</xdr:row>
      <xdr:rowOff>114300</xdr:rowOff>
    </xdr:to>
    <xdr:pic>
      <xdr:nvPicPr>
        <xdr:cNvPr id="24109" name="Picture 93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55184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47625</xdr:rowOff>
    </xdr:from>
    <xdr:to>
      <xdr:col>11</xdr:col>
      <xdr:colOff>0</xdr:colOff>
      <xdr:row>1233</xdr:row>
      <xdr:rowOff>114300</xdr:rowOff>
    </xdr:to>
    <xdr:pic>
      <xdr:nvPicPr>
        <xdr:cNvPr id="24110" name="Picture 93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8900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1223</xdr:row>
      <xdr:rowOff>0</xdr:rowOff>
    </xdr:from>
    <xdr:to>
      <xdr:col>11</xdr:col>
      <xdr:colOff>0</xdr:colOff>
      <xdr:row>1226</xdr:row>
      <xdr:rowOff>95250</xdr:rowOff>
    </xdr:to>
    <xdr:pic>
      <xdr:nvPicPr>
        <xdr:cNvPr id="24111" name="Picture 93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86325" y="1859280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47625</xdr:rowOff>
    </xdr:from>
    <xdr:to>
      <xdr:col>11</xdr:col>
      <xdr:colOff>0</xdr:colOff>
      <xdr:row>1233</xdr:row>
      <xdr:rowOff>114300</xdr:rowOff>
    </xdr:to>
    <xdr:pic>
      <xdr:nvPicPr>
        <xdr:cNvPr id="24112" name="Picture 93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8900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0</xdr:rowOff>
    </xdr:from>
    <xdr:to>
      <xdr:col>11</xdr:col>
      <xdr:colOff>0</xdr:colOff>
      <xdr:row>1230</xdr:row>
      <xdr:rowOff>114300</xdr:rowOff>
    </xdr:to>
    <xdr:pic>
      <xdr:nvPicPr>
        <xdr:cNvPr id="24113" name="Picture 93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8424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1224</xdr:row>
      <xdr:rowOff>0</xdr:rowOff>
    </xdr:from>
    <xdr:to>
      <xdr:col>11</xdr:col>
      <xdr:colOff>0</xdr:colOff>
      <xdr:row>1227</xdr:row>
      <xdr:rowOff>95250</xdr:rowOff>
    </xdr:to>
    <xdr:pic>
      <xdr:nvPicPr>
        <xdr:cNvPr id="24114" name="Picture 93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86325" y="1860804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0</xdr:rowOff>
    </xdr:from>
    <xdr:to>
      <xdr:col>11</xdr:col>
      <xdr:colOff>0</xdr:colOff>
      <xdr:row>1230</xdr:row>
      <xdr:rowOff>114300</xdr:rowOff>
    </xdr:to>
    <xdr:pic>
      <xdr:nvPicPr>
        <xdr:cNvPr id="24115" name="Picture 94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8424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1230</xdr:row>
      <xdr:rowOff>47625</xdr:rowOff>
    </xdr:from>
    <xdr:to>
      <xdr:col>11</xdr:col>
      <xdr:colOff>0</xdr:colOff>
      <xdr:row>1234</xdr:row>
      <xdr:rowOff>114300</xdr:rowOff>
    </xdr:to>
    <xdr:pic>
      <xdr:nvPicPr>
        <xdr:cNvPr id="24116" name="Picture 94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70424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1228</xdr:row>
      <xdr:rowOff>47625</xdr:rowOff>
    </xdr:from>
    <xdr:to>
      <xdr:col>11</xdr:col>
      <xdr:colOff>0</xdr:colOff>
      <xdr:row>1232</xdr:row>
      <xdr:rowOff>114300</xdr:rowOff>
    </xdr:to>
    <xdr:pic>
      <xdr:nvPicPr>
        <xdr:cNvPr id="24117" name="Picture 94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7376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1222</xdr:row>
      <xdr:rowOff>0</xdr:rowOff>
    </xdr:from>
    <xdr:to>
      <xdr:col>11</xdr:col>
      <xdr:colOff>0</xdr:colOff>
      <xdr:row>1225</xdr:row>
      <xdr:rowOff>95250</xdr:rowOff>
    </xdr:to>
    <xdr:pic>
      <xdr:nvPicPr>
        <xdr:cNvPr id="24118" name="Picture 94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86325" y="1857756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1228</xdr:row>
      <xdr:rowOff>47625</xdr:rowOff>
    </xdr:from>
    <xdr:to>
      <xdr:col>11</xdr:col>
      <xdr:colOff>0</xdr:colOff>
      <xdr:row>1232</xdr:row>
      <xdr:rowOff>114300</xdr:rowOff>
    </xdr:to>
    <xdr:pic>
      <xdr:nvPicPr>
        <xdr:cNvPr id="24119" name="Picture 94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7376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1228</xdr:row>
      <xdr:rowOff>0</xdr:rowOff>
    </xdr:from>
    <xdr:to>
      <xdr:col>11</xdr:col>
      <xdr:colOff>0</xdr:colOff>
      <xdr:row>1229</xdr:row>
      <xdr:rowOff>114300</xdr:rowOff>
    </xdr:to>
    <xdr:pic>
      <xdr:nvPicPr>
        <xdr:cNvPr id="24120" name="Picture 94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6900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1228</xdr:row>
      <xdr:rowOff>0</xdr:rowOff>
    </xdr:from>
    <xdr:to>
      <xdr:col>11</xdr:col>
      <xdr:colOff>0</xdr:colOff>
      <xdr:row>1229</xdr:row>
      <xdr:rowOff>114300</xdr:rowOff>
    </xdr:to>
    <xdr:pic>
      <xdr:nvPicPr>
        <xdr:cNvPr id="24121" name="Picture 94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6900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47625</xdr:rowOff>
    </xdr:from>
    <xdr:to>
      <xdr:col>11</xdr:col>
      <xdr:colOff>0</xdr:colOff>
      <xdr:row>1233</xdr:row>
      <xdr:rowOff>114300</xdr:rowOff>
    </xdr:to>
    <xdr:pic>
      <xdr:nvPicPr>
        <xdr:cNvPr id="24122" name="Picture 94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8900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1227</xdr:row>
      <xdr:rowOff>47625</xdr:rowOff>
    </xdr:from>
    <xdr:to>
      <xdr:col>11</xdr:col>
      <xdr:colOff>0</xdr:colOff>
      <xdr:row>1231</xdr:row>
      <xdr:rowOff>114300</xdr:rowOff>
    </xdr:to>
    <xdr:pic>
      <xdr:nvPicPr>
        <xdr:cNvPr id="24123" name="Picture 94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5852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1221</xdr:row>
      <xdr:rowOff>0</xdr:rowOff>
    </xdr:from>
    <xdr:to>
      <xdr:col>11</xdr:col>
      <xdr:colOff>0</xdr:colOff>
      <xdr:row>1224</xdr:row>
      <xdr:rowOff>95250</xdr:rowOff>
    </xdr:to>
    <xdr:pic>
      <xdr:nvPicPr>
        <xdr:cNvPr id="24124" name="Picture 94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86325" y="1856232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1227</xdr:row>
      <xdr:rowOff>47625</xdr:rowOff>
    </xdr:from>
    <xdr:to>
      <xdr:col>11</xdr:col>
      <xdr:colOff>0</xdr:colOff>
      <xdr:row>1231</xdr:row>
      <xdr:rowOff>114300</xdr:rowOff>
    </xdr:to>
    <xdr:pic>
      <xdr:nvPicPr>
        <xdr:cNvPr id="24125" name="Picture 95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5852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1227</xdr:row>
      <xdr:rowOff>0</xdr:rowOff>
    </xdr:from>
    <xdr:to>
      <xdr:col>11</xdr:col>
      <xdr:colOff>0</xdr:colOff>
      <xdr:row>1228</xdr:row>
      <xdr:rowOff>114300</xdr:rowOff>
    </xdr:to>
    <xdr:pic>
      <xdr:nvPicPr>
        <xdr:cNvPr id="24126" name="Picture 95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5376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1222</xdr:row>
      <xdr:rowOff>0</xdr:rowOff>
    </xdr:from>
    <xdr:to>
      <xdr:col>11</xdr:col>
      <xdr:colOff>0</xdr:colOff>
      <xdr:row>1225</xdr:row>
      <xdr:rowOff>95250</xdr:rowOff>
    </xdr:to>
    <xdr:pic>
      <xdr:nvPicPr>
        <xdr:cNvPr id="24127" name="Picture 95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86325" y="1857756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1228</xdr:row>
      <xdr:rowOff>47625</xdr:rowOff>
    </xdr:from>
    <xdr:to>
      <xdr:col>11</xdr:col>
      <xdr:colOff>0</xdr:colOff>
      <xdr:row>1232</xdr:row>
      <xdr:rowOff>114300</xdr:rowOff>
    </xdr:to>
    <xdr:pic>
      <xdr:nvPicPr>
        <xdr:cNvPr id="24128" name="Picture 95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7376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47625</xdr:rowOff>
    </xdr:from>
    <xdr:to>
      <xdr:col>11</xdr:col>
      <xdr:colOff>0</xdr:colOff>
      <xdr:row>1233</xdr:row>
      <xdr:rowOff>114300</xdr:rowOff>
    </xdr:to>
    <xdr:pic>
      <xdr:nvPicPr>
        <xdr:cNvPr id="24129" name="Picture 95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8900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47625</xdr:rowOff>
    </xdr:from>
    <xdr:to>
      <xdr:col>11</xdr:col>
      <xdr:colOff>0</xdr:colOff>
      <xdr:row>1233</xdr:row>
      <xdr:rowOff>114300</xdr:rowOff>
    </xdr:to>
    <xdr:pic>
      <xdr:nvPicPr>
        <xdr:cNvPr id="24130" name="Picture 95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8900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47625</xdr:rowOff>
    </xdr:from>
    <xdr:to>
      <xdr:col>11</xdr:col>
      <xdr:colOff>0</xdr:colOff>
      <xdr:row>1233</xdr:row>
      <xdr:rowOff>114300</xdr:rowOff>
    </xdr:to>
    <xdr:pic>
      <xdr:nvPicPr>
        <xdr:cNvPr id="24131" name="Picture 95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8900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0</xdr:rowOff>
    </xdr:from>
    <xdr:to>
      <xdr:col>11</xdr:col>
      <xdr:colOff>0</xdr:colOff>
      <xdr:row>1230</xdr:row>
      <xdr:rowOff>114300</xdr:rowOff>
    </xdr:to>
    <xdr:pic>
      <xdr:nvPicPr>
        <xdr:cNvPr id="24132" name="Picture 95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8424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0</xdr:rowOff>
    </xdr:from>
    <xdr:to>
      <xdr:col>11</xdr:col>
      <xdr:colOff>0</xdr:colOff>
      <xdr:row>1230</xdr:row>
      <xdr:rowOff>114300</xdr:rowOff>
    </xdr:to>
    <xdr:pic>
      <xdr:nvPicPr>
        <xdr:cNvPr id="24133" name="Picture 95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8424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1230</xdr:row>
      <xdr:rowOff>47625</xdr:rowOff>
    </xdr:from>
    <xdr:to>
      <xdr:col>11</xdr:col>
      <xdr:colOff>0</xdr:colOff>
      <xdr:row>1234</xdr:row>
      <xdr:rowOff>114300</xdr:rowOff>
    </xdr:to>
    <xdr:pic>
      <xdr:nvPicPr>
        <xdr:cNvPr id="24134" name="Picture 95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70424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1228</xdr:row>
      <xdr:rowOff>47625</xdr:rowOff>
    </xdr:from>
    <xdr:to>
      <xdr:col>11</xdr:col>
      <xdr:colOff>0</xdr:colOff>
      <xdr:row>1232</xdr:row>
      <xdr:rowOff>114300</xdr:rowOff>
    </xdr:to>
    <xdr:pic>
      <xdr:nvPicPr>
        <xdr:cNvPr id="24135" name="Picture 96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7376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1228</xdr:row>
      <xdr:rowOff>47625</xdr:rowOff>
    </xdr:from>
    <xdr:to>
      <xdr:col>11</xdr:col>
      <xdr:colOff>0</xdr:colOff>
      <xdr:row>1232</xdr:row>
      <xdr:rowOff>114300</xdr:rowOff>
    </xdr:to>
    <xdr:pic>
      <xdr:nvPicPr>
        <xdr:cNvPr id="24136" name="Picture 96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7376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1228</xdr:row>
      <xdr:rowOff>0</xdr:rowOff>
    </xdr:from>
    <xdr:to>
      <xdr:col>11</xdr:col>
      <xdr:colOff>0</xdr:colOff>
      <xdr:row>1229</xdr:row>
      <xdr:rowOff>114300</xdr:rowOff>
    </xdr:to>
    <xdr:pic>
      <xdr:nvPicPr>
        <xdr:cNvPr id="24137" name="Picture 96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6900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1228</xdr:row>
      <xdr:rowOff>0</xdr:rowOff>
    </xdr:from>
    <xdr:to>
      <xdr:col>11</xdr:col>
      <xdr:colOff>0</xdr:colOff>
      <xdr:row>1229</xdr:row>
      <xdr:rowOff>114300</xdr:rowOff>
    </xdr:to>
    <xdr:pic>
      <xdr:nvPicPr>
        <xdr:cNvPr id="24138" name="Picture 96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6900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47625</xdr:rowOff>
    </xdr:from>
    <xdr:to>
      <xdr:col>11</xdr:col>
      <xdr:colOff>0</xdr:colOff>
      <xdr:row>1233</xdr:row>
      <xdr:rowOff>114300</xdr:rowOff>
    </xdr:to>
    <xdr:pic>
      <xdr:nvPicPr>
        <xdr:cNvPr id="24139" name="Picture 96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8900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1227</xdr:row>
      <xdr:rowOff>47625</xdr:rowOff>
    </xdr:from>
    <xdr:to>
      <xdr:col>11</xdr:col>
      <xdr:colOff>0</xdr:colOff>
      <xdr:row>1231</xdr:row>
      <xdr:rowOff>114300</xdr:rowOff>
    </xdr:to>
    <xdr:pic>
      <xdr:nvPicPr>
        <xdr:cNvPr id="24140" name="Picture 96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5852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47625</xdr:rowOff>
    </xdr:from>
    <xdr:to>
      <xdr:col>11</xdr:col>
      <xdr:colOff>0</xdr:colOff>
      <xdr:row>1233</xdr:row>
      <xdr:rowOff>114300</xdr:rowOff>
    </xdr:to>
    <xdr:pic>
      <xdr:nvPicPr>
        <xdr:cNvPr id="24141" name="Picture 96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8900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1223</xdr:row>
      <xdr:rowOff>0</xdr:rowOff>
    </xdr:from>
    <xdr:to>
      <xdr:col>11</xdr:col>
      <xdr:colOff>0</xdr:colOff>
      <xdr:row>1226</xdr:row>
      <xdr:rowOff>95250</xdr:rowOff>
    </xdr:to>
    <xdr:pic>
      <xdr:nvPicPr>
        <xdr:cNvPr id="24142" name="Picture 96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86325" y="1859280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47625</xdr:rowOff>
    </xdr:from>
    <xdr:to>
      <xdr:col>11</xdr:col>
      <xdr:colOff>0</xdr:colOff>
      <xdr:row>1233</xdr:row>
      <xdr:rowOff>114300</xdr:rowOff>
    </xdr:to>
    <xdr:pic>
      <xdr:nvPicPr>
        <xdr:cNvPr id="24143" name="Picture 96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8900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0</xdr:rowOff>
    </xdr:from>
    <xdr:to>
      <xdr:col>11</xdr:col>
      <xdr:colOff>0</xdr:colOff>
      <xdr:row>1230</xdr:row>
      <xdr:rowOff>114300</xdr:rowOff>
    </xdr:to>
    <xdr:pic>
      <xdr:nvPicPr>
        <xdr:cNvPr id="24144" name="Picture 96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8424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1224</xdr:row>
      <xdr:rowOff>0</xdr:rowOff>
    </xdr:from>
    <xdr:to>
      <xdr:col>11</xdr:col>
      <xdr:colOff>0</xdr:colOff>
      <xdr:row>1227</xdr:row>
      <xdr:rowOff>95250</xdr:rowOff>
    </xdr:to>
    <xdr:pic>
      <xdr:nvPicPr>
        <xdr:cNvPr id="24145" name="Picture 97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86325" y="1860804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0</xdr:rowOff>
    </xdr:from>
    <xdr:to>
      <xdr:col>11</xdr:col>
      <xdr:colOff>0</xdr:colOff>
      <xdr:row>1230</xdr:row>
      <xdr:rowOff>114300</xdr:rowOff>
    </xdr:to>
    <xdr:pic>
      <xdr:nvPicPr>
        <xdr:cNvPr id="24146" name="Picture 97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8424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1230</xdr:row>
      <xdr:rowOff>47625</xdr:rowOff>
    </xdr:from>
    <xdr:to>
      <xdr:col>11</xdr:col>
      <xdr:colOff>0</xdr:colOff>
      <xdr:row>1234</xdr:row>
      <xdr:rowOff>114300</xdr:rowOff>
    </xdr:to>
    <xdr:pic>
      <xdr:nvPicPr>
        <xdr:cNvPr id="24147" name="Picture 97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70424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1228</xdr:row>
      <xdr:rowOff>47625</xdr:rowOff>
    </xdr:from>
    <xdr:to>
      <xdr:col>11</xdr:col>
      <xdr:colOff>0</xdr:colOff>
      <xdr:row>1232</xdr:row>
      <xdr:rowOff>114300</xdr:rowOff>
    </xdr:to>
    <xdr:pic>
      <xdr:nvPicPr>
        <xdr:cNvPr id="24148" name="Picture 97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7376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1222</xdr:row>
      <xdr:rowOff>0</xdr:rowOff>
    </xdr:from>
    <xdr:to>
      <xdr:col>11</xdr:col>
      <xdr:colOff>0</xdr:colOff>
      <xdr:row>1225</xdr:row>
      <xdr:rowOff>95250</xdr:rowOff>
    </xdr:to>
    <xdr:pic>
      <xdr:nvPicPr>
        <xdr:cNvPr id="24149" name="Picture 97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86325" y="1857756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1228</xdr:row>
      <xdr:rowOff>47625</xdr:rowOff>
    </xdr:from>
    <xdr:to>
      <xdr:col>11</xdr:col>
      <xdr:colOff>0</xdr:colOff>
      <xdr:row>1232</xdr:row>
      <xdr:rowOff>114300</xdr:rowOff>
    </xdr:to>
    <xdr:pic>
      <xdr:nvPicPr>
        <xdr:cNvPr id="24150" name="Picture 97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7376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1228</xdr:row>
      <xdr:rowOff>0</xdr:rowOff>
    </xdr:from>
    <xdr:to>
      <xdr:col>11</xdr:col>
      <xdr:colOff>0</xdr:colOff>
      <xdr:row>1229</xdr:row>
      <xdr:rowOff>114300</xdr:rowOff>
    </xdr:to>
    <xdr:pic>
      <xdr:nvPicPr>
        <xdr:cNvPr id="24151" name="Picture 97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6900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1223</xdr:row>
      <xdr:rowOff>0</xdr:rowOff>
    </xdr:from>
    <xdr:to>
      <xdr:col>11</xdr:col>
      <xdr:colOff>0</xdr:colOff>
      <xdr:row>1226</xdr:row>
      <xdr:rowOff>95250</xdr:rowOff>
    </xdr:to>
    <xdr:pic>
      <xdr:nvPicPr>
        <xdr:cNvPr id="24152" name="Picture 97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86325" y="1859280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1228</xdr:row>
      <xdr:rowOff>0</xdr:rowOff>
    </xdr:from>
    <xdr:to>
      <xdr:col>11</xdr:col>
      <xdr:colOff>0</xdr:colOff>
      <xdr:row>1229</xdr:row>
      <xdr:rowOff>114300</xdr:rowOff>
    </xdr:to>
    <xdr:pic>
      <xdr:nvPicPr>
        <xdr:cNvPr id="24153" name="Picture 97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6900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47625</xdr:rowOff>
    </xdr:from>
    <xdr:to>
      <xdr:col>11</xdr:col>
      <xdr:colOff>0</xdr:colOff>
      <xdr:row>1233</xdr:row>
      <xdr:rowOff>114300</xdr:rowOff>
    </xdr:to>
    <xdr:pic>
      <xdr:nvPicPr>
        <xdr:cNvPr id="24154" name="Picture 97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8900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1227</xdr:row>
      <xdr:rowOff>47625</xdr:rowOff>
    </xdr:from>
    <xdr:to>
      <xdr:col>11</xdr:col>
      <xdr:colOff>0</xdr:colOff>
      <xdr:row>1231</xdr:row>
      <xdr:rowOff>114300</xdr:rowOff>
    </xdr:to>
    <xdr:pic>
      <xdr:nvPicPr>
        <xdr:cNvPr id="24155" name="Picture 98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5852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1221</xdr:row>
      <xdr:rowOff>0</xdr:rowOff>
    </xdr:from>
    <xdr:to>
      <xdr:col>11</xdr:col>
      <xdr:colOff>0</xdr:colOff>
      <xdr:row>1224</xdr:row>
      <xdr:rowOff>95250</xdr:rowOff>
    </xdr:to>
    <xdr:pic>
      <xdr:nvPicPr>
        <xdr:cNvPr id="24156" name="Picture 98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86325" y="1856232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1227</xdr:row>
      <xdr:rowOff>47625</xdr:rowOff>
    </xdr:from>
    <xdr:to>
      <xdr:col>11</xdr:col>
      <xdr:colOff>0</xdr:colOff>
      <xdr:row>1231</xdr:row>
      <xdr:rowOff>114300</xdr:rowOff>
    </xdr:to>
    <xdr:pic>
      <xdr:nvPicPr>
        <xdr:cNvPr id="24157" name="Picture 98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5852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1227</xdr:row>
      <xdr:rowOff>0</xdr:rowOff>
    </xdr:from>
    <xdr:to>
      <xdr:col>11</xdr:col>
      <xdr:colOff>0</xdr:colOff>
      <xdr:row>1228</xdr:row>
      <xdr:rowOff>114300</xdr:rowOff>
    </xdr:to>
    <xdr:pic>
      <xdr:nvPicPr>
        <xdr:cNvPr id="24158" name="Picture 98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5376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1222</xdr:row>
      <xdr:rowOff>0</xdr:rowOff>
    </xdr:from>
    <xdr:to>
      <xdr:col>11</xdr:col>
      <xdr:colOff>0</xdr:colOff>
      <xdr:row>1225</xdr:row>
      <xdr:rowOff>95250</xdr:rowOff>
    </xdr:to>
    <xdr:pic>
      <xdr:nvPicPr>
        <xdr:cNvPr id="24159" name="Picture 98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86325" y="1857756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1227</xdr:row>
      <xdr:rowOff>0</xdr:rowOff>
    </xdr:from>
    <xdr:to>
      <xdr:col>11</xdr:col>
      <xdr:colOff>0</xdr:colOff>
      <xdr:row>1228</xdr:row>
      <xdr:rowOff>114300</xdr:rowOff>
    </xdr:to>
    <xdr:pic>
      <xdr:nvPicPr>
        <xdr:cNvPr id="24160" name="Picture 98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5376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1228</xdr:row>
      <xdr:rowOff>47625</xdr:rowOff>
    </xdr:from>
    <xdr:to>
      <xdr:col>11</xdr:col>
      <xdr:colOff>0</xdr:colOff>
      <xdr:row>1232</xdr:row>
      <xdr:rowOff>114300</xdr:rowOff>
    </xdr:to>
    <xdr:pic>
      <xdr:nvPicPr>
        <xdr:cNvPr id="24161" name="Picture 98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7376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1223</xdr:row>
      <xdr:rowOff>0</xdr:rowOff>
    </xdr:from>
    <xdr:to>
      <xdr:col>11</xdr:col>
      <xdr:colOff>0</xdr:colOff>
      <xdr:row>1226</xdr:row>
      <xdr:rowOff>95250</xdr:rowOff>
    </xdr:to>
    <xdr:pic>
      <xdr:nvPicPr>
        <xdr:cNvPr id="24162" name="Picture 98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86325" y="1859280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47625</xdr:rowOff>
    </xdr:from>
    <xdr:to>
      <xdr:col>11</xdr:col>
      <xdr:colOff>0</xdr:colOff>
      <xdr:row>1233</xdr:row>
      <xdr:rowOff>114300</xdr:rowOff>
    </xdr:to>
    <xdr:pic>
      <xdr:nvPicPr>
        <xdr:cNvPr id="24163" name="Picture 98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8900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47625</xdr:rowOff>
    </xdr:from>
    <xdr:to>
      <xdr:col>11</xdr:col>
      <xdr:colOff>0</xdr:colOff>
      <xdr:row>1233</xdr:row>
      <xdr:rowOff>114300</xdr:rowOff>
    </xdr:to>
    <xdr:pic>
      <xdr:nvPicPr>
        <xdr:cNvPr id="24164" name="Picture 98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8900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1223</xdr:row>
      <xdr:rowOff>0</xdr:rowOff>
    </xdr:from>
    <xdr:to>
      <xdr:col>11</xdr:col>
      <xdr:colOff>0</xdr:colOff>
      <xdr:row>1226</xdr:row>
      <xdr:rowOff>95250</xdr:rowOff>
    </xdr:to>
    <xdr:pic>
      <xdr:nvPicPr>
        <xdr:cNvPr id="24165" name="Picture 99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86325" y="1859280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47625</xdr:rowOff>
    </xdr:from>
    <xdr:to>
      <xdr:col>11</xdr:col>
      <xdr:colOff>0</xdr:colOff>
      <xdr:row>1233</xdr:row>
      <xdr:rowOff>114300</xdr:rowOff>
    </xdr:to>
    <xdr:pic>
      <xdr:nvPicPr>
        <xdr:cNvPr id="24166" name="Picture 99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8900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0</xdr:rowOff>
    </xdr:from>
    <xdr:to>
      <xdr:col>11</xdr:col>
      <xdr:colOff>0</xdr:colOff>
      <xdr:row>1230</xdr:row>
      <xdr:rowOff>114300</xdr:rowOff>
    </xdr:to>
    <xdr:pic>
      <xdr:nvPicPr>
        <xdr:cNvPr id="24167" name="Picture 99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8424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1224</xdr:row>
      <xdr:rowOff>0</xdr:rowOff>
    </xdr:from>
    <xdr:to>
      <xdr:col>11</xdr:col>
      <xdr:colOff>0</xdr:colOff>
      <xdr:row>1227</xdr:row>
      <xdr:rowOff>95250</xdr:rowOff>
    </xdr:to>
    <xdr:pic>
      <xdr:nvPicPr>
        <xdr:cNvPr id="24168" name="Picture 99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86325" y="1860804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0</xdr:rowOff>
    </xdr:from>
    <xdr:to>
      <xdr:col>11</xdr:col>
      <xdr:colOff>0</xdr:colOff>
      <xdr:row>1230</xdr:row>
      <xdr:rowOff>114300</xdr:rowOff>
    </xdr:to>
    <xdr:pic>
      <xdr:nvPicPr>
        <xdr:cNvPr id="24169" name="Picture 99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8424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1230</xdr:row>
      <xdr:rowOff>47625</xdr:rowOff>
    </xdr:from>
    <xdr:to>
      <xdr:col>11</xdr:col>
      <xdr:colOff>0</xdr:colOff>
      <xdr:row>1234</xdr:row>
      <xdr:rowOff>114300</xdr:rowOff>
    </xdr:to>
    <xdr:pic>
      <xdr:nvPicPr>
        <xdr:cNvPr id="24170" name="Picture 99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70424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1228</xdr:row>
      <xdr:rowOff>47625</xdr:rowOff>
    </xdr:from>
    <xdr:to>
      <xdr:col>11</xdr:col>
      <xdr:colOff>0</xdr:colOff>
      <xdr:row>1232</xdr:row>
      <xdr:rowOff>114300</xdr:rowOff>
    </xdr:to>
    <xdr:pic>
      <xdr:nvPicPr>
        <xdr:cNvPr id="24171" name="Picture 99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7376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1222</xdr:row>
      <xdr:rowOff>0</xdr:rowOff>
    </xdr:from>
    <xdr:to>
      <xdr:col>11</xdr:col>
      <xdr:colOff>0</xdr:colOff>
      <xdr:row>1225</xdr:row>
      <xdr:rowOff>95250</xdr:rowOff>
    </xdr:to>
    <xdr:pic>
      <xdr:nvPicPr>
        <xdr:cNvPr id="24172" name="Picture 99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86325" y="1857756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1228</xdr:row>
      <xdr:rowOff>47625</xdr:rowOff>
    </xdr:from>
    <xdr:to>
      <xdr:col>11</xdr:col>
      <xdr:colOff>0</xdr:colOff>
      <xdr:row>1232</xdr:row>
      <xdr:rowOff>114300</xdr:rowOff>
    </xdr:to>
    <xdr:pic>
      <xdr:nvPicPr>
        <xdr:cNvPr id="24173" name="Picture 99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7376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1228</xdr:row>
      <xdr:rowOff>0</xdr:rowOff>
    </xdr:from>
    <xdr:to>
      <xdr:col>11</xdr:col>
      <xdr:colOff>0</xdr:colOff>
      <xdr:row>1229</xdr:row>
      <xdr:rowOff>114300</xdr:rowOff>
    </xdr:to>
    <xdr:pic>
      <xdr:nvPicPr>
        <xdr:cNvPr id="24174" name="Picture 99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6900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1223</xdr:row>
      <xdr:rowOff>0</xdr:rowOff>
    </xdr:from>
    <xdr:to>
      <xdr:col>11</xdr:col>
      <xdr:colOff>0</xdr:colOff>
      <xdr:row>1226</xdr:row>
      <xdr:rowOff>95250</xdr:rowOff>
    </xdr:to>
    <xdr:pic>
      <xdr:nvPicPr>
        <xdr:cNvPr id="24175" name="Picture 10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86325" y="1859280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1228</xdr:row>
      <xdr:rowOff>0</xdr:rowOff>
    </xdr:from>
    <xdr:to>
      <xdr:col>11</xdr:col>
      <xdr:colOff>0</xdr:colOff>
      <xdr:row>1229</xdr:row>
      <xdr:rowOff>114300</xdr:rowOff>
    </xdr:to>
    <xdr:pic>
      <xdr:nvPicPr>
        <xdr:cNvPr id="24176" name="Picture 100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6900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47625</xdr:rowOff>
    </xdr:from>
    <xdr:to>
      <xdr:col>11</xdr:col>
      <xdr:colOff>0</xdr:colOff>
      <xdr:row>1233</xdr:row>
      <xdr:rowOff>114300</xdr:rowOff>
    </xdr:to>
    <xdr:pic>
      <xdr:nvPicPr>
        <xdr:cNvPr id="24177" name="Picture 100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8900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1227</xdr:row>
      <xdr:rowOff>47625</xdr:rowOff>
    </xdr:from>
    <xdr:to>
      <xdr:col>11</xdr:col>
      <xdr:colOff>0</xdr:colOff>
      <xdr:row>1231</xdr:row>
      <xdr:rowOff>114300</xdr:rowOff>
    </xdr:to>
    <xdr:pic>
      <xdr:nvPicPr>
        <xdr:cNvPr id="24178" name="Picture 100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5852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1221</xdr:row>
      <xdr:rowOff>0</xdr:rowOff>
    </xdr:from>
    <xdr:to>
      <xdr:col>11</xdr:col>
      <xdr:colOff>0</xdr:colOff>
      <xdr:row>1224</xdr:row>
      <xdr:rowOff>95250</xdr:rowOff>
    </xdr:to>
    <xdr:pic>
      <xdr:nvPicPr>
        <xdr:cNvPr id="24179" name="Picture 100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86325" y="1856232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1227</xdr:row>
      <xdr:rowOff>47625</xdr:rowOff>
    </xdr:from>
    <xdr:to>
      <xdr:col>11</xdr:col>
      <xdr:colOff>0</xdr:colOff>
      <xdr:row>1231</xdr:row>
      <xdr:rowOff>114300</xdr:rowOff>
    </xdr:to>
    <xdr:pic>
      <xdr:nvPicPr>
        <xdr:cNvPr id="24180" name="Picture 100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5852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1227</xdr:row>
      <xdr:rowOff>0</xdr:rowOff>
    </xdr:from>
    <xdr:to>
      <xdr:col>11</xdr:col>
      <xdr:colOff>0</xdr:colOff>
      <xdr:row>1228</xdr:row>
      <xdr:rowOff>114300</xdr:rowOff>
    </xdr:to>
    <xdr:pic>
      <xdr:nvPicPr>
        <xdr:cNvPr id="24181" name="Picture 100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5376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1222</xdr:row>
      <xdr:rowOff>0</xdr:rowOff>
    </xdr:from>
    <xdr:to>
      <xdr:col>11</xdr:col>
      <xdr:colOff>0</xdr:colOff>
      <xdr:row>1225</xdr:row>
      <xdr:rowOff>95250</xdr:rowOff>
    </xdr:to>
    <xdr:pic>
      <xdr:nvPicPr>
        <xdr:cNvPr id="24182" name="Picture 100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86325" y="1857756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1227</xdr:row>
      <xdr:rowOff>0</xdr:rowOff>
    </xdr:from>
    <xdr:to>
      <xdr:col>11</xdr:col>
      <xdr:colOff>0</xdr:colOff>
      <xdr:row>1228</xdr:row>
      <xdr:rowOff>114300</xdr:rowOff>
    </xdr:to>
    <xdr:pic>
      <xdr:nvPicPr>
        <xdr:cNvPr id="24183" name="Picture 100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5376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2428875</xdr:colOff>
      <xdr:row>1220</xdr:row>
      <xdr:rowOff>85725</xdr:rowOff>
    </xdr:from>
    <xdr:to>
      <xdr:col>12</xdr:col>
      <xdr:colOff>0</xdr:colOff>
      <xdr:row>1225</xdr:row>
      <xdr:rowOff>114300</xdr:rowOff>
    </xdr:to>
    <xdr:pic>
      <xdr:nvPicPr>
        <xdr:cNvPr id="24184" name="Picture 100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86325" y="185556525"/>
          <a:ext cx="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1228</xdr:row>
      <xdr:rowOff>47625</xdr:rowOff>
    </xdr:from>
    <xdr:to>
      <xdr:col>11</xdr:col>
      <xdr:colOff>609600</xdr:colOff>
      <xdr:row>1232</xdr:row>
      <xdr:rowOff>114300</xdr:rowOff>
    </xdr:to>
    <xdr:pic>
      <xdr:nvPicPr>
        <xdr:cNvPr id="24185" name="Picture 101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86325" y="1867376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723900</xdr:colOff>
      <xdr:row>1223</xdr:row>
      <xdr:rowOff>57150</xdr:rowOff>
    </xdr:from>
    <xdr:to>
      <xdr:col>10</xdr:col>
      <xdr:colOff>1381125</xdr:colOff>
      <xdr:row>1227</xdr:row>
      <xdr:rowOff>142875</xdr:rowOff>
    </xdr:to>
    <xdr:pic>
      <xdr:nvPicPr>
        <xdr:cNvPr id="24186" name="Picture 8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533775" y="185985150"/>
          <a:ext cx="6572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752475</xdr:colOff>
      <xdr:row>1232</xdr:row>
      <xdr:rowOff>19050</xdr:rowOff>
    </xdr:from>
    <xdr:to>
      <xdr:col>10</xdr:col>
      <xdr:colOff>1295400</xdr:colOff>
      <xdr:row>1236</xdr:row>
      <xdr:rowOff>95250</xdr:rowOff>
    </xdr:to>
    <xdr:pic>
      <xdr:nvPicPr>
        <xdr:cNvPr id="24187" name="Picture 10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562350" y="187318650"/>
          <a:ext cx="5429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ynesisXLS/Op&#263;ina%202024/Izvr&#353;enje_prora&#269;una_po_pozicijam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zvršenje_proračuna_po_pozicija"/>
    </sheetNames>
    <sheetDataSet>
      <sheetData sheetId="0">
        <row r="2">
          <cell r="B2" t="str">
            <v>61</v>
          </cell>
          <cell r="E2">
            <v>134973.64000000001</v>
          </cell>
        </row>
        <row r="3">
          <cell r="B3" t="str">
            <v>61-1</v>
          </cell>
          <cell r="E3">
            <v>602278.37</v>
          </cell>
        </row>
        <row r="4">
          <cell r="B4" t="str">
            <v>611-2</v>
          </cell>
          <cell r="E4">
            <v>158847.59</v>
          </cell>
        </row>
        <row r="5">
          <cell r="B5" t="str">
            <v>611-3</v>
          </cell>
          <cell r="E5">
            <v>216708.02</v>
          </cell>
        </row>
        <row r="6">
          <cell r="B6" t="str">
            <v>611-4</v>
          </cell>
          <cell r="E6">
            <v>102688.59</v>
          </cell>
        </row>
        <row r="7">
          <cell r="B7" t="str">
            <v>611-5</v>
          </cell>
          <cell r="E7">
            <v>32193.53</v>
          </cell>
        </row>
        <row r="8">
          <cell r="B8" t="str">
            <v>61-2</v>
          </cell>
          <cell r="E8">
            <v>2512935.87</v>
          </cell>
        </row>
        <row r="9">
          <cell r="B9" t="str">
            <v>61-3</v>
          </cell>
          <cell r="E9">
            <v>192066.11</v>
          </cell>
        </row>
        <row r="10">
          <cell r="B10" t="str">
            <v>61-4</v>
          </cell>
          <cell r="E10">
            <v>80794.899999999994</v>
          </cell>
        </row>
        <row r="11">
          <cell r="B11" t="str">
            <v>63</v>
          </cell>
          <cell r="E11">
            <v>72252.490000000005</v>
          </cell>
        </row>
        <row r="12">
          <cell r="B12" t="str">
            <v>63-1</v>
          </cell>
          <cell r="E12">
            <v>69569.399999999994</v>
          </cell>
        </row>
        <row r="13">
          <cell r="B13" t="str">
            <v>63-2</v>
          </cell>
          <cell r="E13">
            <v>323702.05</v>
          </cell>
        </row>
        <row r="14">
          <cell r="B14" t="str">
            <v>64</v>
          </cell>
          <cell r="E14">
            <v>57390.31</v>
          </cell>
        </row>
        <row r="15">
          <cell r="B15" t="str">
            <v>64-0</v>
          </cell>
          <cell r="E15">
            <v>0.69</v>
          </cell>
        </row>
        <row r="16">
          <cell r="B16" t="str">
            <v>64-1</v>
          </cell>
          <cell r="E16">
            <v>1580.86</v>
          </cell>
        </row>
        <row r="17">
          <cell r="B17" t="str">
            <v>64-2</v>
          </cell>
          <cell r="E17">
            <v>152.12</v>
          </cell>
        </row>
        <row r="18">
          <cell r="B18" t="str">
            <v>64-3</v>
          </cell>
          <cell r="E18">
            <v>114323.7</v>
          </cell>
        </row>
        <row r="19">
          <cell r="B19" t="str">
            <v>64-9</v>
          </cell>
          <cell r="E19">
            <v>31033.07</v>
          </cell>
        </row>
        <row r="20">
          <cell r="B20" t="str">
            <v>65</v>
          </cell>
          <cell r="E20">
            <v>342309.39</v>
          </cell>
        </row>
        <row r="21">
          <cell r="B21" t="str">
            <v>65-1</v>
          </cell>
          <cell r="E21">
            <v>163021.82999999999</v>
          </cell>
        </row>
        <row r="22">
          <cell r="B22" t="str">
            <v>65-2</v>
          </cell>
          <cell r="E22">
            <v>1299.1199999999999</v>
          </cell>
        </row>
        <row r="23">
          <cell r="B23" t="str">
            <v>65-3</v>
          </cell>
          <cell r="E23">
            <v>38.520000000000003</v>
          </cell>
        </row>
        <row r="24">
          <cell r="B24" t="str">
            <v>65-4</v>
          </cell>
          <cell r="E24">
            <v>126421.15</v>
          </cell>
        </row>
        <row r="25">
          <cell r="B25" t="str">
            <v>66</v>
          </cell>
          <cell r="E25">
            <v>4187.84</v>
          </cell>
        </row>
        <row r="26">
          <cell r="B26" t="str">
            <v>68</v>
          </cell>
          <cell r="E26">
            <v>16263.79</v>
          </cell>
        </row>
        <row r="27">
          <cell r="B27" t="str">
            <v>69</v>
          </cell>
          <cell r="E27">
            <v>20003.330000000002</v>
          </cell>
        </row>
        <row r="28">
          <cell r="B28" t="str">
            <v>71</v>
          </cell>
          <cell r="E28">
            <v>4613.33</v>
          </cell>
        </row>
        <row r="29">
          <cell r="B29" t="str">
            <v>72</v>
          </cell>
          <cell r="E29">
            <v>683.52</v>
          </cell>
        </row>
        <row r="30">
          <cell r="B30" t="str">
            <v>001</v>
          </cell>
          <cell r="E30">
            <v>210994.59</v>
          </cell>
        </row>
        <row r="31">
          <cell r="B31" t="str">
            <v>001-1</v>
          </cell>
          <cell r="E31">
            <v>0</v>
          </cell>
        </row>
        <row r="32">
          <cell r="B32" t="str">
            <v>004</v>
          </cell>
          <cell r="E32">
            <v>1085.17</v>
          </cell>
        </row>
        <row r="33">
          <cell r="B33" t="str">
            <v>006</v>
          </cell>
          <cell r="E33">
            <v>34814.07</v>
          </cell>
        </row>
        <row r="34">
          <cell r="B34" t="str">
            <v>008</v>
          </cell>
          <cell r="E34">
            <v>10462.36</v>
          </cell>
        </row>
        <row r="35">
          <cell r="B35" t="str">
            <v>008-1</v>
          </cell>
          <cell r="E35">
            <v>1773.52</v>
          </cell>
        </row>
        <row r="36">
          <cell r="B36" t="str">
            <v>009</v>
          </cell>
          <cell r="E36">
            <v>4176.3</v>
          </cell>
        </row>
        <row r="37">
          <cell r="B37" t="str">
            <v>010</v>
          </cell>
          <cell r="E37">
            <v>3776.5</v>
          </cell>
        </row>
        <row r="38">
          <cell r="B38" t="str">
            <v>011</v>
          </cell>
          <cell r="E38">
            <v>4610</v>
          </cell>
        </row>
        <row r="39">
          <cell r="B39" t="str">
            <v>012</v>
          </cell>
          <cell r="E39">
            <v>10412.94</v>
          </cell>
        </row>
        <row r="40">
          <cell r="B40" t="str">
            <v>013</v>
          </cell>
          <cell r="E40">
            <v>725.41</v>
          </cell>
        </row>
        <row r="41">
          <cell r="B41" t="str">
            <v>014</v>
          </cell>
          <cell r="E41">
            <v>756.6</v>
          </cell>
        </row>
        <row r="42">
          <cell r="B42" t="str">
            <v>014-1</v>
          </cell>
          <cell r="E42">
            <v>2624.53</v>
          </cell>
        </row>
        <row r="43">
          <cell r="B43" t="str">
            <v>015</v>
          </cell>
          <cell r="E43">
            <v>21508.31</v>
          </cell>
        </row>
        <row r="44">
          <cell r="B44" t="str">
            <v>016</v>
          </cell>
          <cell r="E44">
            <v>9826.2800000000007</v>
          </cell>
        </row>
        <row r="45">
          <cell r="B45" t="str">
            <v>017</v>
          </cell>
          <cell r="E45">
            <v>8311.2999999999993</v>
          </cell>
        </row>
        <row r="46">
          <cell r="B46" t="str">
            <v>018</v>
          </cell>
          <cell r="E46">
            <v>202.5</v>
          </cell>
        </row>
        <row r="47">
          <cell r="B47" t="str">
            <v>019</v>
          </cell>
          <cell r="E47">
            <v>12401.75</v>
          </cell>
        </row>
        <row r="48">
          <cell r="B48" t="str">
            <v>020</v>
          </cell>
          <cell r="E48">
            <v>29908.22</v>
          </cell>
        </row>
        <row r="49">
          <cell r="B49" t="str">
            <v>021</v>
          </cell>
          <cell r="E49">
            <v>9375</v>
          </cell>
        </row>
        <row r="50">
          <cell r="B50" t="str">
            <v>021-1</v>
          </cell>
          <cell r="E50">
            <v>3667.3</v>
          </cell>
        </row>
        <row r="51">
          <cell r="B51" t="str">
            <v>022</v>
          </cell>
          <cell r="E51">
            <v>1149.75</v>
          </cell>
        </row>
        <row r="52">
          <cell r="B52" t="str">
            <v>024</v>
          </cell>
          <cell r="E52">
            <v>7136.18</v>
          </cell>
        </row>
        <row r="53">
          <cell r="B53" t="str">
            <v>025</v>
          </cell>
          <cell r="E53">
            <v>370.21</v>
          </cell>
        </row>
        <row r="54">
          <cell r="B54" t="str">
            <v>025-1</v>
          </cell>
          <cell r="E54">
            <v>33.18</v>
          </cell>
        </row>
        <row r="55">
          <cell r="B55" t="str">
            <v>026</v>
          </cell>
          <cell r="E55">
            <v>89237.26</v>
          </cell>
        </row>
        <row r="56">
          <cell r="B56" t="str">
            <v>026-1</v>
          </cell>
          <cell r="E56">
            <v>0</v>
          </cell>
        </row>
        <row r="57">
          <cell r="B57" t="str">
            <v>026-2</v>
          </cell>
          <cell r="E57">
            <v>4601.0200000000004</v>
          </cell>
        </row>
        <row r="58">
          <cell r="B58" t="str">
            <v>026-4</v>
          </cell>
          <cell r="E58">
            <v>2750</v>
          </cell>
        </row>
        <row r="59">
          <cell r="B59" t="str">
            <v>026-6</v>
          </cell>
          <cell r="E59">
            <v>0</v>
          </cell>
        </row>
        <row r="60">
          <cell r="B60" t="str">
            <v>027</v>
          </cell>
          <cell r="E60">
            <v>7664.76</v>
          </cell>
        </row>
        <row r="61">
          <cell r="B61" t="str">
            <v>028</v>
          </cell>
          <cell r="E61">
            <v>4297</v>
          </cell>
        </row>
        <row r="62">
          <cell r="B62" t="str">
            <v>029-1</v>
          </cell>
          <cell r="E62">
            <v>19650</v>
          </cell>
        </row>
        <row r="63">
          <cell r="B63" t="str">
            <v>030</v>
          </cell>
          <cell r="E63">
            <v>17286.759999999998</v>
          </cell>
        </row>
        <row r="64">
          <cell r="B64" t="str">
            <v>031</v>
          </cell>
          <cell r="E64">
            <v>0</v>
          </cell>
        </row>
        <row r="65">
          <cell r="B65" t="str">
            <v>070</v>
          </cell>
          <cell r="E65">
            <v>47214.21</v>
          </cell>
        </row>
        <row r="66">
          <cell r="B66" t="str">
            <v>071</v>
          </cell>
          <cell r="E66">
            <v>0</v>
          </cell>
        </row>
        <row r="67">
          <cell r="B67" t="str">
            <v>078-0</v>
          </cell>
          <cell r="E67">
            <v>0</v>
          </cell>
        </row>
        <row r="68">
          <cell r="B68" t="str">
            <v>090</v>
          </cell>
          <cell r="E68">
            <v>37605.480000000003</v>
          </cell>
        </row>
        <row r="69">
          <cell r="B69" t="str">
            <v>090-32</v>
          </cell>
          <cell r="E69">
            <v>0</v>
          </cell>
        </row>
        <row r="70">
          <cell r="B70" t="str">
            <v>090-8</v>
          </cell>
          <cell r="E70">
            <v>0</v>
          </cell>
        </row>
        <row r="71">
          <cell r="B71" t="str">
            <v>091-2</v>
          </cell>
          <cell r="E71">
            <v>12633.97</v>
          </cell>
        </row>
        <row r="72">
          <cell r="B72" t="str">
            <v>091-3</v>
          </cell>
          <cell r="E72">
            <v>440605.47</v>
          </cell>
        </row>
        <row r="73">
          <cell r="B73" t="str">
            <v>094</v>
          </cell>
          <cell r="E73">
            <v>130442.64</v>
          </cell>
        </row>
        <row r="74">
          <cell r="B74" t="str">
            <v>097</v>
          </cell>
          <cell r="E74">
            <v>137983.85999999999</v>
          </cell>
        </row>
        <row r="75">
          <cell r="B75" t="str">
            <v>097-1</v>
          </cell>
          <cell r="E75">
            <v>50808.57</v>
          </cell>
        </row>
        <row r="76">
          <cell r="B76" t="str">
            <v>098-0</v>
          </cell>
          <cell r="E76">
            <v>69227.66</v>
          </cell>
        </row>
        <row r="77">
          <cell r="B77" t="str">
            <v>098-3</v>
          </cell>
          <cell r="E77">
            <v>39059.339999999997</v>
          </cell>
        </row>
        <row r="78">
          <cell r="B78" t="str">
            <v>098-4</v>
          </cell>
          <cell r="E78">
            <v>38787</v>
          </cell>
        </row>
        <row r="79">
          <cell r="B79" t="str">
            <v>102-0</v>
          </cell>
          <cell r="E79">
            <v>10738.29</v>
          </cell>
        </row>
        <row r="80">
          <cell r="B80" t="str">
            <v>102-1</v>
          </cell>
          <cell r="E80">
            <v>0</v>
          </cell>
        </row>
        <row r="81">
          <cell r="B81" t="str">
            <v>102-2</v>
          </cell>
          <cell r="E81">
            <v>13976.15</v>
          </cell>
        </row>
        <row r="82">
          <cell r="B82" t="str">
            <v>109</v>
          </cell>
          <cell r="E82">
            <v>13881.76</v>
          </cell>
        </row>
        <row r="83">
          <cell r="B83" t="str">
            <v>110</v>
          </cell>
          <cell r="E83">
            <v>8911.26</v>
          </cell>
        </row>
        <row r="84">
          <cell r="B84" t="str">
            <v>111</v>
          </cell>
          <cell r="E84">
            <v>15235</v>
          </cell>
        </row>
        <row r="85">
          <cell r="B85" t="str">
            <v>112-1</v>
          </cell>
          <cell r="E85">
            <v>18784.599999999999</v>
          </cell>
        </row>
        <row r="86">
          <cell r="B86" t="str">
            <v>113-1</v>
          </cell>
          <cell r="E86">
            <v>86912.25</v>
          </cell>
        </row>
        <row r="87">
          <cell r="B87" t="str">
            <v>113-5</v>
          </cell>
          <cell r="E87">
            <v>1700</v>
          </cell>
        </row>
        <row r="88">
          <cell r="B88" t="str">
            <v>114</v>
          </cell>
          <cell r="E88">
            <v>0</v>
          </cell>
        </row>
        <row r="89">
          <cell r="B89" t="str">
            <v>114-3</v>
          </cell>
          <cell r="E89">
            <v>15375</v>
          </cell>
        </row>
        <row r="90">
          <cell r="B90" t="str">
            <v>114-4</v>
          </cell>
          <cell r="E90">
            <v>16691.73</v>
          </cell>
        </row>
        <row r="91">
          <cell r="B91" t="str">
            <v>116</v>
          </cell>
          <cell r="E91">
            <v>12477.1</v>
          </cell>
        </row>
        <row r="92">
          <cell r="B92" t="str">
            <v>116-2</v>
          </cell>
          <cell r="E92">
            <v>0</v>
          </cell>
        </row>
        <row r="93">
          <cell r="B93" t="str">
            <v>120-5</v>
          </cell>
          <cell r="E93">
            <v>0</v>
          </cell>
        </row>
        <row r="94">
          <cell r="B94" t="str">
            <v>122</v>
          </cell>
          <cell r="E94">
            <v>4509.63</v>
          </cell>
        </row>
        <row r="95">
          <cell r="B95" t="str">
            <v>122-1</v>
          </cell>
          <cell r="E95">
            <v>995.43</v>
          </cell>
        </row>
        <row r="96">
          <cell r="B96" t="str">
            <v>123</v>
          </cell>
          <cell r="E96">
            <v>24670.29</v>
          </cell>
        </row>
        <row r="97">
          <cell r="B97" t="str">
            <v>124-1</v>
          </cell>
          <cell r="E97">
            <v>1261.49</v>
          </cell>
        </row>
        <row r="98">
          <cell r="B98" t="str">
            <v>124-2</v>
          </cell>
          <cell r="E98">
            <v>0</v>
          </cell>
        </row>
        <row r="99">
          <cell r="B99" t="str">
            <v>125-1</v>
          </cell>
          <cell r="E99">
            <v>100</v>
          </cell>
        </row>
        <row r="100">
          <cell r="B100" t="str">
            <v>125-3</v>
          </cell>
          <cell r="E100">
            <v>29250</v>
          </cell>
        </row>
        <row r="101">
          <cell r="B101" t="str">
            <v>125-5</v>
          </cell>
          <cell r="E101">
            <v>0</v>
          </cell>
        </row>
        <row r="102">
          <cell r="B102" t="str">
            <v>126</v>
          </cell>
          <cell r="E102">
            <v>13163.44</v>
          </cell>
        </row>
        <row r="103">
          <cell r="B103" t="str">
            <v>126-6</v>
          </cell>
          <cell r="E103">
            <v>600</v>
          </cell>
        </row>
        <row r="104">
          <cell r="B104" t="str">
            <v>126-8</v>
          </cell>
          <cell r="E104">
            <v>743.75</v>
          </cell>
        </row>
        <row r="105">
          <cell r="B105" t="str">
            <v>127-0</v>
          </cell>
          <cell r="E105">
            <v>33000</v>
          </cell>
        </row>
        <row r="106">
          <cell r="B106" t="str">
            <v>127-3</v>
          </cell>
          <cell r="E106">
            <v>67000</v>
          </cell>
        </row>
        <row r="107">
          <cell r="B107" t="str">
            <v>127-4</v>
          </cell>
          <cell r="E107">
            <v>2507</v>
          </cell>
        </row>
        <row r="108">
          <cell r="B108" t="str">
            <v>127-7</v>
          </cell>
          <cell r="E108">
            <v>18778.7</v>
          </cell>
        </row>
        <row r="109">
          <cell r="B109" t="str">
            <v>127-8</v>
          </cell>
          <cell r="E109">
            <v>1500</v>
          </cell>
        </row>
        <row r="110">
          <cell r="B110" t="str">
            <v>128-1</v>
          </cell>
          <cell r="E110">
            <v>537.29999999999995</v>
          </cell>
        </row>
        <row r="111">
          <cell r="B111" t="str">
            <v>128-2</v>
          </cell>
          <cell r="E111">
            <v>26.48</v>
          </cell>
        </row>
        <row r="112">
          <cell r="B112" t="str">
            <v>128-4</v>
          </cell>
          <cell r="E112">
            <v>0</v>
          </cell>
        </row>
        <row r="113">
          <cell r="B113" t="str">
            <v>128-5</v>
          </cell>
          <cell r="E113">
            <v>0</v>
          </cell>
        </row>
        <row r="114">
          <cell r="B114" t="str">
            <v>128-9</v>
          </cell>
          <cell r="E114">
            <v>466.87</v>
          </cell>
        </row>
        <row r="115">
          <cell r="B115" t="str">
            <v>129-6</v>
          </cell>
          <cell r="E115">
            <v>0</v>
          </cell>
        </row>
        <row r="116">
          <cell r="B116" t="str">
            <v>130</v>
          </cell>
          <cell r="E116">
            <v>61768.72</v>
          </cell>
        </row>
        <row r="117">
          <cell r="B117" t="str">
            <v>131</v>
          </cell>
          <cell r="E117">
            <v>0</v>
          </cell>
        </row>
        <row r="118">
          <cell r="B118" t="str">
            <v>132</v>
          </cell>
          <cell r="E118">
            <v>13300</v>
          </cell>
        </row>
        <row r="119">
          <cell r="B119" t="str">
            <v>132-1</v>
          </cell>
          <cell r="E119">
            <v>21193.68</v>
          </cell>
        </row>
        <row r="120">
          <cell r="B120" t="str">
            <v>134</v>
          </cell>
          <cell r="E120">
            <v>7376</v>
          </cell>
        </row>
        <row r="121">
          <cell r="B121" t="str">
            <v>134-1</v>
          </cell>
          <cell r="E121">
            <v>23519.91</v>
          </cell>
        </row>
        <row r="122">
          <cell r="B122" t="str">
            <v>135-0</v>
          </cell>
          <cell r="E122">
            <v>16800</v>
          </cell>
        </row>
        <row r="123">
          <cell r="B123" t="str">
            <v>135-4</v>
          </cell>
          <cell r="E123">
            <v>2423.75</v>
          </cell>
        </row>
        <row r="124">
          <cell r="B124" t="str">
            <v>135-5</v>
          </cell>
          <cell r="E124">
            <v>1500</v>
          </cell>
        </row>
        <row r="125">
          <cell r="B125" t="str">
            <v>136</v>
          </cell>
          <cell r="E125">
            <v>2750</v>
          </cell>
        </row>
        <row r="126">
          <cell r="B126" t="str">
            <v>140-7</v>
          </cell>
          <cell r="E126">
            <v>7002</v>
          </cell>
        </row>
        <row r="127">
          <cell r="B127" t="str">
            <v>141-1</v>
          </cell>
          <cell r="E127">
            <v>0</v>
          </cell>
        </row>
        <row r="128">
          <cell r="B128" t="str">
            <v>142-0</v>
          </cell>
          <cell r="E128">
            <v>15529</v>
          </cell>
        </row>
        <row r="129">
          <cell r="B129" t="str">
            <v>146-0</v>
          </cell>
          <cell r="E129">
            <v>57200</v>
          </cell>
        </row>
        <row r="130">
          <cell r="B130" t="str">
            <v>156</v>
          </cell>
          <cell r="E130">
            <v>0</v>
          </cell>
        </row>
        <row r="131">
          <cell r="B131" t="str">
            <v>158</v>
          </cell>
          <cell r="E131">
            <v>20000</v>
          </cell>
        </row>
        <row r="132">
          <cell r="B132" t="str">
            <v>158-1</v>
          </cell>
          <cell r="E132">
            <v>30000</v>
          </cell>
        </row>
        <row r="133">
          <cell r="B133" t="str">
            <v>158-3</v>
          </cell>
          <cell r="E133">
            <v>4000</v>
          </cell>
        </row>
        <row r="134">
          <cell r="B134" t="str">
            <v>158-4</v>
          </cell>
          <cell r="E134">
            <v>51853.14</v>
          </cell>
        </row>
        <row r="135">
          <cell r="B135" t="str">
            <v>160-0</v>
          </cell>
          <cell r="E135">
            <v>27600</v>
          </cell>
        </row>
        <row r="136">
          <cell r="B136" t="str">
            <v>163</v>
          </cell>
          <cell r="E136">
            <v>3240.18</v>
          </cell>
        </row>
        <row r="137">
          <cell r="B137" t="str">
            <v>164</v>
          </cell>
          <cell r="E137">
            <v>750.08</v>
          </cell>
        </row>
        <row r="138">
          <cell r="B138" t="str">
            <v>164-3</v>
          </cell>
          <cell r="E138">
            <v>0</v>
          </cell>
        </row>
        <row r="139">
          <cell r="B139" t="str">
            <v>165</v>
          </cell>
          <cell r="E139">
            <v>3000</v>
          </cell>
        </row>
        <row r="140">
          <cell r="B140" t="str">
            <v>168</v>
          </cell>
          <cell r="E140">
            <v>0</v>
          </cell>
        </row>
        <row r="141">
          <cell r="B141" t="str">
            <v>171-1</v>
          </cell>
          <cell r="E141">
            <v>16597.53</v>
          </cell>
        </row>
        <row r="142">
          <cell r="B142" t="str">
            <v>172</v>
          </cell>
          <cell r="E142">
            <v>115000</v>
          </cell>
        </row>
        <row r="143">
          <cell r="B143" t="str">
            <v>172-0</v>
          </cell>
          <cell r="E143">
            <v>247000</v>
          </cell>
        </row>
        <row r="144">
          <cell r="B144" t="str">
            <v>172-1</v>
          </cell>
          <cell r="E144">
            <v>305000</v>
          </cell>
        </row>
        <row r="145">
          <cell r="B145" t="str">
            <v>172-3</v>
          </cell>
          <cell r="E145">
            <v>0</v>
          </cell>
        </row>
        <row r="146">
          <cell r="B146" t="str">
            <v>174</v>
          </cell>
          <cell r="E146">
            <v>0</v>
          </cell>
        </row>
        <row r="147">
          <cell r="B147" t="str">
            <v>175-4</v>
          </cell>
          <cell r="E147">
            <v>0</v>
          </cell>
        </row>
        <row r="148">
          <cell r="B148" t="str">
            <v>179-2</v>
          </cell>
          <cell r="E148">
            <v>35000</v>
          </cell>
        </row>
        <row r="149">
          <cell r="B149" t="str">
            <v>179-7</v>
          </cell>
          <cell r="E149">
            <v>0</v>
          </cell>
        </row>
        <row r="150">
          <cell r="B150" t="str">
            <v>179-8</v>
          </cell>
          <cell r="E150">
            <v>1337.5</v>
          </cell>
        </row>
        <row r="151">
          <cell r="B151" t="str">
            <v>186-2</v>
          </cell>
          <cell r="E151">
            <v>37225.360000000001</v>
          </cell>
        </row>
        <row r="152">
          <cell r="B152" t="str">
            <v>186-4</v>
          </cell>
          <cell r="E152">
            <v>19261.25</v>
          </cell>
        </row>
        <row r="153">
          <cell r="B153" t="str">
            <v>200</v>
          </cell>
          <cell r="E153">
            <v>21301.48</v>
          </cell>
        </row>
      </sheetData>
    </sheetDataSet>
  </externalBook>
</externalLink>
</file>

<file path=xl/tables/table1.xml><?xml version="1.0" encoding="utf-8"?>
<table xmlns="http://schemas.openxmlformats.org/spreadsheetml/2006/main" id="3" name="Table14" displayName="Table14" ref="A43:AO192" totalsRowShown="0" headerRowDxfId="0" dataDxfId="1">
  <tableColumns count="41">
    <tableColumn id="1" name="Column1" dataDxfId="42"/>
    <tableColumn id="2" name="Column2" dataDxfId="41"/>
    <tableColumn id="3" name="Column3" dataDxfId="40"/>
    <tableColumn id="4" name="Column4" dataDxfId="39"/>
    <tableColumn id="5" name="Column5" dataDxfId="38"/>
    <tableColumn id="6" name="Column6" dataDxfId="37"/>
    <tableColumn id="7" name="Column7" dataDxfId="36"/>
    <tableColumn id="8" name="Column8" dataDxfId="35"/>
    <tableColumn id="9" name="Column9" dataDxfId="34"/>
    <tableColumn id="10" name="Column10" dataDxfId="33"/>
    <tableColumn id="11" name="Column11" dataDxfId="32"/>
    <tableColumn id="12" name="Column12" dataDxfId="31"/>
    <tableColumn id="13" name="Column13" dataDxfId="30"/>
    <tableColumn id="14" name="Column14" dataDxfId="29"/>
    <tableColumn id="15" name="Column15" dataDxfId="28"/>
    <tableColumn id="16" name="Column16" dataDxfId="27"/>
    <tableColumn id="17" name="Column17" dataDxfId="26"/>
    <tableColumn id="18" name="Column18" dataDxfId="25" dataCellStyle="Normal 2"/>
    <tableColumn id="19" name="Column19" dataDxfId="24"/>
    <tableColumn id="20" name="Column20" dataDxfId="23"/>
    <tableColumn id="21" name="Column21" dataDxfId="22">
      <calculatedColumnFormula>__xlfn.ISFORMULA(S44)</calculatedColumnFormula>
    </tableColumn>
    <tableColumn id="35" name="Column23" dataDxfId="21"/>
    <tableColumn id="22" name="Column232" dataDxfId="20"/>
    <tableColumn id="23" name="Column24" dataDxfId="19"/>
    <tableColumn id="36" name="Column25" dataDxfId="18"/>
    <tableColumn id="34" name="Column26" dataDxfId="17"/>
    <tableColumn id="24" name="Column27" dataDxfId="16"/>
    <tableColumn id="25" name="Column28" dataDxfId="15"/>
    <tableColumn id="26" name="Column29" dataDxfId="14"/>
    <tableColumn id="27" name="Column30" dataDxfId="13"/>
    <tableColumn id="28" name="Column31" dataDxfId="12"/>
    <tableColumn id="29" name="Column32" dataDxfId="11"/>
    <tableColumn id="30" name="Column33" dataDxfId="10"/>
    <tableColumn id="31" name="Column34" dataDxfId="9"/>
    <tableColumn id="32" name="Column35" dataDxfId="8"/>
    <tableColumn id="38" name="Column36" dataDxfId="7"/>
    <tableColumn id="39" name="Column37" dataDxfId="6"/>
    <tableColumn id="41" name="Column38" dataDxfId="5"/>
    <tableColumn id="40" name="Column39" dataDxfId="4"/>
    <tableColumn id="33" name="Column40" dataDxfId="3">
      <calculatedColumnFormula>__xlfn.ISFORMULA(#REF!)</calculatedColumnFormula>
    </tableColumn>
    <tableColumn id="37" name="Column41" dataDxfId="2">
      <calculatedColumnFormula>__xlfn.ISFORMULA(#REF!)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V1244"/>
  <sheetViews>
    <sheetView tabSelected="1" workbookViewId="0">
      <selection activeCell="W1245" sqref="W1245"/>
    </sheetView>
  </sheetViews>
  <sheetFormatPr defaultColWidth="9" defaultRowHeight="12.75"/>
  <cols>
    <col min="1" max="7" width="1.7109375" customWidth="1"/>
    <col min="8" max="8" width="10.140625" customWidth="1"/>
    <col min="10" max="10" width="11" customWidth="1"/>
    <col min="11" max="11" width="31.140625" customWidth="1"/>
    <col min="12" max="17" width="0" hidden="1" customWidth="1"/>
    <col min="18" max="18" width="11" customWidth="1"/>
    <col min="19" max="21" width="0" hidden="1" customWidth="1"/>
    <col min="22" max="23" width="11.140625" customWidth="1"/>
    <col min="24" max="42" width="0" hidden="1" customWidth="1"/>
    <col min="43" max="43" width="11.28515625" customWidth="1"/>
    <col min="44" max="44" width="4.42578125" customWidth="1"/>
    <col min="45" max="48" width="4.140625" customWidth="1"/>
  </cols>
  <sheetData>
    <row r="1" spans="1:48" ht="12" customHeight="1">
      <c r="A1" s="659" t="s">
        <v>0</v>
      </c>
      <c r="B1" s="659"/>
      <c r="C1" s="659"/>
      <c r="D1" s="659"/>
      <c r="E1" s="659"/>
      <c r="F1" s="659"/>
      <c r="G1" s="659"/>
      <c r="H1" s="659"/>
      <c r="I1" s="659"/>
      <c r="J1" s="659"/>
      <c r="K1" s="659"/>
      <c r="L1" s="619"/>
      <c r="M1" s="620"/>
      <c r="N1" s="620"/>
      <c r="O1" s="620"/>
      <c r="P1" s="620"/>
      <c r="Q1" s="621"/>
      <c r="R1" s="621"/>
      <c r="S1" s="621"/>
      <c r="T1" s="621"/>
      <c r="U1" s="621"/>
      <c r="V1" s="622"/>
      <c r="W1" s="622"/>
      <c r="X1" s="623"/>
      <c r="Y1" s="624"/>
      <c r="Z1" s="624"/>
      <c r="AA1" s="624"/>
      <c r="AB1" s="624"/>
      <c r="AC1" s="625"/>
      <c r="AD1" s="625"/>
      <c r="AE1" s="625"/>
      <c r="AF1" s="625"/>
      <c r="AG1" s="625"/>
      <c r="AH1" s="625"/>
      <c r="AI1" s="624"/>
      <c r="AJ1" s="624"/>
      <c r="AK1" s="624"/>
      <c r="AL1" s="624"/>
      <c r="AM1" s="624"/>
      <c r="AN1" s="620"/>
      <c r="AO1" s="626"/>
      <c r="AP1" s="626"/>
      <c r="AQ1" s="627"/>
      <c r="AR1" s="628"/>
      <c r="AS1" s="628"/>
      <c r="AT1" s="628"/>
      <c r="AU1" s="628"/>
      <c r="AV1" s="628"/>
    </row>
    <row r="2" spans="1:48" s="25" customFormat="1" ht="12" customHeight="1">
      <c r="A2" s="629"/>
      <c r="B2" s="630" t="s">
        <v>1</v>
      </c>
      <c r="C2" s="631"/>
      <c r="D2" s="631"/>
      <c r="E2" s="631"/>
      <c r="F2" s="631"/>
      <c r="G2" s="632"/>
      <c r="H2" s="632"/>
      <c r="I2" s="632"/>
      <c r="J2" s="632"/>
      <c r="K2" s="632"/>
      <c r="L2" s="632"/>
      <c r="M2" s="632"/>
      <c r="N2" s="632"/>
      <c r="O2" s="632"/>
      <c r="P2" s="632"/>
      <c r="Q2" s="632"/>
      <c r="R2" s="632"/>
      <c r="S2" s="632"/>
      <c r="T2" s="632"/>
      <c r="U2" s="632"/>
      <c r="V2" s="632"/>
      <c r="W2" s="632"/>
      <c r="X2" s="632"/>
      <c r="Y2" s="632"/>
      <c r="Z2" s="632"/>
      <c r="AA2" s="632"/>
      <c r="AB2" s="632"/>
      <c r="AC2" s="632"/>
      <c r="AD2" s="632"/>
      <c r="AE2" s="632"/>
      <c r="AF2" s="632"/>
      <c r="AG2" s="632"/>
      <c r="AH2" s="632"/>
      <c r="AI2" s="632"/>
      <c r="AJ2" s="632"/>
      <c r="AK2" s="632"/>
      <c r="AL2" s="632"/>
      <c r="AM2" s="632"/>
      <c r="AN2" s="632"/>
      <c r="AO2" s="632"/>
      <c r="AP2" s="632"/>
      <c r="AQ2" s="632"/>
      <c r="AR2" s="632"/>
      <c r="AS2" s="632"/>
      <c r="AT2" s="633"/>
      <c r="AU2" s="633"/>
      <c r="AV2" s="633"/>
    </row>
    <row r="3" spans="1:48" ht="12" customHeight="1">
      <c r="A3" s="616"/>
      <c r="B3" s="616"/>
      <c r="C3" s="616"/>
      <c r="D3" s="616"/>
      <c r="E3" s="616"/>
      <c r="F3" s="616"/>
      <c r="G3" s="616"/>
      <c r="H3" s="618" t="s">
        <v>2</v>
      </c>
      <c r="I3" s="617"/>
      <c r="J3" s="618"/>
      <c r="K3" s="618"/>
      <c r="L3" s="620"/>
      <c r="M3" s="620"/>
      <c r="N3" s="620"/>
      <c r="O3" s="620"/>
      <c r="P3" s="620"/>
      <c r="Q3" s="620"/>
      <c r="R3" s="622"/>
      <c r="S3" s="622"/>
      <c r="T3" s="622"/>
      <c r="U3" s="622"/>
      <c r="V3" s="622"/>
      <c r="W3" s="622"/>
      <c r="X3" s="623"/>
      <c r="Y3" s="624"/>
      <c r="Z3" s="624"/>
      <c r="AA3" s="624"/>
      <c r="AB3" s="624"/>
      <c r="AC3" s="625"/>
      <c r="AD3" s="625"/>
      <c r="AE3" s="625"/>
      <c r="AF3" s="625"/>
      <c r="AG3" s="625"/>
      <c r="AH3" s="625"/>
      <c r="AI3" s="624"/>
      <c r="AJ3" s="624"/>
      <c r="AK3" s="624"/>
      <c r="AL3" s="624"/>
      <c r="AM3" s="624"/>
      <c r="AN3" s="620"/>
      <c r="AO3" s="626"/>
      <c r="AP3" s="626"/>
      <c r="AQ3" s="622"/>
      <c r="AR3" s="628"/>
      <c r="AS3" s="628"/>
      <c r="AT3" s="628"/>
      <c r="AU3" s="628"/>
      <c r="AV3" s="628"/>
    </row>
    <row r="4" spans="1:48" ht="12" customHeight="1">
      <c r="A4" s="634"/>
      <c r="B4" s="634"/>
      <c r="C4" s="634"/>
      <c r="D4" s="634"/>
      <c r="E4" s="634"/>
      <c r="F4" s="634"/>
      <c r="G4" s="634"/>
      <c r="H4" s="635"/>
      <c r="I4" s="636"/>
      <c r="J4" s="635"/>
      <c r="K4" s="635"/>
      <c r="L4" s="637"/>
      <c r="M4" s="637"/>
      <c r="N4" s="637"/>
      <c r="O4" s="637"/>
      <c r="P4" s="637"/>
      <c r="Q4" s="637"/>
      <c r="R4" s="638"/>
      <c r="S4" s="638"/>
      <c r="T4" s="638"/>
      <c r="U4" s="638"/>
      <c r="V4" s="638"/>
      <c r="W4" s="638"/>
      <c r="X4" s="639"/>
      <c r="Y4" s="640"/>
      <c r="Z4" s="640"/>
      <c r="AA4" s="640"/>
      <c r="AB4" s="640"/>
      <c r="AC4" s="641"/>
      <c r="AD4" s="641"/>
      <c r="AE4" s="641"/>
      <c r="AF4" s="641"/>
      <c r="AG4" s="641"/>
      <c r="AH4" s="641"/>
      <c r="AI4" s="640"/>
      <c r="AJ4" s="640"/>
      <c r="AK4" s="640"/>
      <c r="AL4" s="640"/>
      <c r="AM4" s="640"/>
      <c r="AN4" s="637"/>
      <c r="AO4" s="626"/>
      <c r="AP4" s="626"/>
      <c r="AQ4" s="638"/>
      <c r="AR4" s="628"/>
      <c r="AS4" s="628"/>
      <c r="AT4" s="628"/>
      <c r="AU4" s="628"/>
      <c r="AV4" s="628"/>
    </row>
    <row r="5" spans="1:48" ht="12" customHeight="1">
      <c r="A5" s="616"/>
      <c r="B5" s="616"/>
      <c r="C5" s="616"/>
      <c r="D5" s="616"/>
      <c r="E5" s="616"/>
      <c r="F5" s="616"/>
      <c r="G5" s="616"/>
      <c r="H5" s="618" t="s">
        <v>3</v>
      </c>
      <c r="I5" s="617"/>
      <c r="J5" s="618"/>
      <c r="K5" s="618"/>
      <c r="L5" s="620"/>
      <c r="M5" s="620"/>
      <c r="N5" s="620"/>
      <c r="O5" s="620"/>
      <c r="P5" s="620"/>
      <c r="Q5" s="620"/>
      <c r="R5" s="622"/>
      <c r="S5" s="622"/>
      <c r="T5" s="622"/>
      <c r="U5" s="622"/>
      <c r="V5" s="622"/>
      <c r="W5" s="622"/>
      <c r="X5" s="623"/>
      <c r="Y5" s="624"/>
      <c r="Z5" s="624"/>
      <c r="AA5" s="624"/>
      <c r="AB5" s="624"/>
      <c r="AC5" s="625"/>
      <c r="AD5" s="625"/>
      <c r="AE5" s="625"/>
      <c r="AF5" s="625"/>
      <c r="AG5" s="625"/>
      <c r="AH5" s="625"/>
      <c r="AI5" s="624"/>
      <c r="AJ5" s="624"/>
      <c r="AK5" s="624"/>
      <c r="AL5" s="624"/>
      <c r="AM5" s="624"/>
      <c r="AN5" s="620"/>
      <c r="AO5" s="626"/>
      <c r="AP5" s="626"/>
      <c r="AQ5" s="622"/>
      <c r="AR5" s="628"/>
      <c r="AS5" s="628"/>
      <c r="AT5" s="628"/>
      <c r="AU5" s="628"/>
      <c r="AV5" s="628"/>
    </row>
    <row r="6" spans="1:48" ht="12" customHeight="1">
      <c r="A6" s="634"/>
      <c r="B6" s="634"/>
      <c r="C6" s="634"/>
      <c r="D6" s="634"/>
      <c r="E6" s="634"/>
      <c r="F6" s="634"/>
      <c r="G6" s="634"/>
      <c r="H6" s="635"/>
      <c r="I6" s="636"/>
      <c r="J6" s="635"/>
      <c r="K6" s="635"/>
      <c r="L6" s="637"/>
      <c r="M6" s="637"/>
      <c r="N6" s="637"/>
      <c r="O6" s="637"/>
      <c r="P6" s="637"/>
      <c r="Q6" s="637"/>
      <c r="R6" s="638"/>
      <c r="S6" s="638"/>
      <c r="T6" s="638"/>
      <c r="U6" s="638"/>
      <c r="V6" s="638"/>
      <c r="W6" s="638"/>
      <c r="X6" s="639"/>
      <c r="Y6" s="640"/>
      <c r="Z6" s="640"/>
      <c r="AA6" s="640"/>
      <c r="AB6" s="640"/>
      <c r="AC6" s="641"/>
      <c r="AD6" s="641"/>
      <c r="AE6" s="641"/>
      <c r="AF6" s="641"/>
      <c r="AG6" s="641"/>
      <c r="AH6" s="641"/>
      <c r="AI6" s="640"/>
      <c r="AJ6" s="640"/>
      <c r="AK6" s="640"/>
      <c r="AL6" s="640"/>
      <c r="AM6" s="640"/>
      <c r="AN6" s="637"/>
      <c r="AO6" s="626"/>
      <c r="AP6" s="626"/>
      <c r="AQ6" s="638"/>
      <c r="AR6" s="628"/>
      <c r="AS6" s="628"/>
      <c r="AT6" s="628"/>
      <c r="AU6" s="628"/>
      <c r="AV6" s="628"/>
    </row>
    <row r="7" spans="1:48" ht="12" customHeight="1">
      <c r="A7" s="36"/>
      <c r="B7" s="37"/>
      <c r="C7" s="37"/>
      <c r="D7" s="37"/>
      <c r="E7" s="37"/>
      <c r="F7" s="37"/>
      <c r="G7" s="37"/>
      <c r="H7" s="38"/>
      <c r="I7" s="73"/>
      <c r="J7" s="74"/>
      <c r="K7" s="75"/>
      <c r="L7" s="76" t="s">
        <v>4</v>
      </c>
      <c r="M7" s="76" t="s">
        <v>4</v>
      </c>
      <c r="N7" s="77" t="s">
        <v>5</v>
      </c>
      <c r="O7" s="77" t="s">
        <v>5</v>
      </c>
      <c r="P7" s="78" t="s">
        <v>6</v>
      </c>
      <c r="Q7" s="144" t="s">
        <v>7</v>
      </c>
      <c r="R7" s="145"/>
      <c r="S7" s="146" t="s">
        <v>8</v>
      </c>
      <c r="T7" s="147"/>
      <c r="U7" s="148"/>
      <c r="V7" s="149" t="s">
        <v>9</v>
      </c>
      <c r="W7" s="149" t="s">
        <v>10</v>
      </c>
      <c r="X7" s="147" t="s">
        <v>11</v>
      </c>
      <c r="Y7" s="147" t="s">
        <v>12</v>
      </c>
      <c r="Z7" s="147" t="s">
        <v>12</v>
      </c>
      <c r="AA7" s="147" t="s">
        <v>12</v>
      </c>
      <c r="AB7" s="147" t="s">
        <v>12</v>
      </c>
      <c r="AC7" s="147" t="s">
        <v>12</v>
      </c>
      <c r="AD7" s="147" t="s">
        <v>12</v>
      </c>
      <c r="AE7" s="147" t="s">
        <v>12</v>
      </c>
      <c r="AF7" s="147" t="s">
        <v>12</v>
      </c>
      <c r="AG7" s="147" t="s">
        <v>12</v>
      </c>
      <c r="AH7" s="147" t="s">
        <v>12</v>
      </c>
      <c r="AI7" s="147" t="s">
        <v>12</v>
      </c>
      <c r="AJ7" s="147" t="s">
        <v>12</v>
      </c>
      <c r="AK7" s="147"/>
      <c r="AL7" s="147"/>
      <c r="AM7" s="147"/>
      <c r="AN7" s="147"/>
      <c r="AO7" s="147"/>
      <c r="AP7" s="147"/>
      <c r="AQ7" s="149" t="s">
        <v>13</v>
      </c>
      <c r="AR7" s="655" t="s">
        <v>14</v>
      </c>
      <c r="AS7" s="655" t="s">
        <v>15</v>
      </c>
      <c r="AT7" s="655" t="s">
        <v>16</v>
      </c>
      <c r="AU7" s="655" t="s">
        <v>17</v>
      </c>
      <c r="AV7" s="657" t="s">
        <v>18</v>
      </c>
    </row>
    <row r="8" spans="1:48" ht="12" customHeight="1">
      <c r="A8" s="39"/>
      <c r="B8" s="40"/>
      <c r="C8" s="40"/>
      <c r="D8" s="40"/>
      <c r="E8" s="40"/>
      <c r="F8" s="40"/>
      <c r="G8" s="40"/>
      <c r="H8" s="41"/>
      <c r="I8" s="617"/>
      <c r="J8" s="618"/>
      <c r="K8" s="79"/>
      <c r="L8" s="80" t="s">
        <v>19</v>
      </c>
      <c r="M8" s="80" t="s">
        <v>20</v>
      </c>
      <c r="N8" s="81" t="s">
        <v>19</v>
      </c>
      <c r="O8" s="81" t="s">
        <v>20</v>
      </c>
      <c r="P8" s="82" t="s">
        <v>20</v>
      </c>
      <c r="Q8" s="82" t="s">
        <v>20</v>
      </c>
      <c r="R8" s="150" t="s">
        <v>21</v>
      </c>
      <c r="S8" s="147" t="s">
        <v>22</v>
      </c>
      <c r="T8" s="147"/>
      <c r="U8" s="148"/>
      <c r="V8" s="151" t="s">
        <v>23</v>
      </c>
      <c r="W8" s="151" t="s">
        <v>23</v>
      </c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7"/>
      <c r="AI8" s="147"/>
      <c r="AJ8" s="147"/>
      <c r="AK8" s="147"/>
      <c r="AL8" s="147"/>
      <c r="AM8" s="147"/>
      <c r="AN8" s="147"/>
      <c r="AO8" s="147"/>
      <c r="AP8" s="147"/>
      <c r="AQ8" s="151" t="s">
        <v>24</v>
      </c>
      <c r="AR8" s="656"/>
      <c r="AS8" s="656"/>
      <c r="AT8" s="656"/>
      <c r="AU8" s="656"/>
      <c r="AV8" s="658"/>
    </row>
    <row r="9" spans="1:48" ht="12" customHeight="1">
      <c r="A9" s="39"/>
      <c r="B9" s="40"/>
      <c r="C9" s="40"/>
      <c r="D9" s="40"/>
      <c r="E9" s="40"/>
      <c r="F9" s="40"/>
      <c r="G9" s="40"/>
      <c r="H9" s="41"/>
      <c r="I9" s="617"/>
      <c r="J9" s="618"/>
      <c r="K9" s="83"/>
      <c r="L9" s="80"/>
      <c r="M9" s="80"/>
      <c r="N9" s="81"/>
      <c r="O9" s="81"/>
      <c r="P9" s="82"/>
      <c r="Q9" s="82"/>
      <c r="R9" s="152"/>
      <c r="S9" s="147"/>
      <c r="T9" s="147"/>
      <c r="U9" s="148"/>
      <c r="V9" s="153" t="s">
        <v>25</v>
      </c>
      <c r="W9" s="153" t="s">
        <v>26</v>
      </c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7"/>
      <c r="AO9" s="147"/>
      <c r="AP9" s="147"/>
      <c r="AQ9" s="642"/>
      <c r="AR9" s="190"/>
      <c r="AS9" s="191"/>
      <c r="AT9" s="191"/>
      <c r="AU9" s="191"/>
      <c r="AV9" s="192"/>
    </row>
    <row r="10" spans="1:48" ht="12" customHeight="1">
      <c r="A10" s="42"/>
      <c r="B10" s="42"/>
      <c r="C10" s="42"/>
      <c r="D10" s="42"/>
      <c r="E10" s="42"/>
      <c r="F10" s="42"/>
      <c r="G10" s="42"/>
      <c r="H10" s="43"/>
      <c r="I10" s="94"/>
      <c r="J10" s="93"/>
      <c r="K10" s="231"/>
      <c r="L10" s="85">
        <v>1</v>
      </c>
      <c r="M10" s="85">
        <v>2</v>
      </c>
      <c r="N10" s="86">
        <v>3</v>
      </c>
      <c r="O10" s="86">
        <v>4</v>
      </c>
      <c r="P10" s="87">
        <v>5</v>
      </c>
      <c r="Q10" s="87">
        <v>6</v>
      </c>
      <c r="R10" s="147">
        <v>1</v>
      </c>
      <c r="S10" s="147">
        <v>5</v>
      </c>
      <c r="T10" s="147"/>
      <c r="U10" s="147"/>
      <c r="V10" s="147">
        <v>2</v>
      </c>
      <c r="W10" s="147">
        <v>3</v>
      </c>
      <c r="X10" s="147">
        <v>4</v>
      </c>
      <c r="Y10" s="147">
        <v>5</v>
      </c>
      <c r="Z10" s="147"/>
      <c r="AA10" s="147"/>
      <c r="AB10" s="147"/>
      <c r="AC10" s="147">
        <v>7</v>
      </c>
      <c r="AD10" s="147">
        <v>8</v>
      </c>
      <c r="AE10" s="147">
        <v>9</v>
      </c>
      <c r="AF10" s="147">
        <v>10</v>
      </c>
      <c r="AG10" s="147">
        <v>11</v>
      </c>
      <c r="AH10" s="147">
        <v>12</v>
      </c>
      <c r="AI10" s="147"/>
      <c r="AJ10" s="147">
        <v>5</v>
      </c>
      <c r="AK10" s="147">
        <v>7</v>
      </c>
      <c r="AL10" s="147">
        <v>8</v>
      </c>
      <c r="AM10" s="147">
        <v>9</v>
      </c>
      <c r="AN10" s="147"/>
      <c r="AO10" s="147"/>
      <c r="AP10" s="147" t="s">
        <v>27</v>
      </c>
      <c r="AQ10" s="147">
        <v>4</v>
      </c>
      <c r="AR10" s="652"/>
      <c r="AS10" s="653"/>
      <c r="AT10" s="653"/>
      <c r="AU10" s="653"/>
      <c r="AV10" s="654"/>
    </row>
    <row r="11" spans="1:48" ht="12" customHeight="1">
      <c r="A11" s="42"/>
      <c r="B11" s="42"/>
      <c r="C11" s="42"/>
      <c r="D11" s="42"/>
      <c r="E11" s="42"/>
      <c r="F11" s="42"/>
      <c r="G11" s="42"/>
      <c r="H11" s="2" t="s">
        <v>28</v>
      </c>
      <c r="I11" s="14"/>
      <c r="J11" s="2"/>
      <c r="K11" s="2"/>
      <c r="L11" s="88">
        <f t="shared" ref="L11:Y11" si="0">L48</f>
        <v>26862820</v>
      </c>
      <c r="M11" s="88">
        <f t="shared" si="0"/>
        <v>3565309.0405468177</v>
      </c>
      <c r="N11" s="89">
        <f t="shared" si="0"/>
        <v>28595356</v>
      </c>
      <c r="O11" s="89">
        <f t="shared" si="0"/>
        <v>3795255.9559360268</v>
      </c>
      <c r="P11" s="90">
        <f t="shared" si="0"/>
        <v>5029020</v>
      </c>
      <c r="Q11" s="90">
        <f t="shared" si="0"/>
        <v>4231370</v>
      </c>
      <c r="R11" s="88">
        <f t="shared" si="0"/>
        <v>4231370</v>
      </c>
      <c r="S11" s="90">
        <f t="shared" si="0"/>
        <v>2806152.65</v>
      </c>
      <c r="T11" s="90">
        <f t="shared" si="0"/>
        <v>1547844.5100000002</v>
      </c>
      <c r="U11" s="90" t="e">
        <f t="shared" ca="1" si="0"/>
        <v>#NAME?</v>
      </c>
      <c r="V11" s="89">
        <f t="shared" si="0"/>
        <v>5476000</v>
      </c>
      <c r="W11" s="89">
        <f t="shared" si="0"/>
        <v>5476000</v>
      </c>
      <c r="X11" s="88">
        <f t="shared" si="0"/>
        <v>6790720</v>
      </c>
      <c r="Y11" s="171">
        <f t="shared" si="0"/>
        <v>6922720</v>
      </c>
      <c r="Z11" s="171"/>
      <c r="AA11" s="171"/>
      <c r="AB11" s="171"/>
      <c r="AC11" s="172">
        <f>AC48</f>
        <v>4123970</v>
      </c>
      <c r="AD11" s="172">
        <f>AD48</f>
        <v>4123970</v>
      </c>
      <c r="AE11" s="172">
        <f t="shared" ref="AE11:AE16" si="1">O11/M11*100</f>
        <v>106.4495647578966</v>
      </c>
      <c r="AF11" s="172">
        <f>P11/O11*100</f>
        <v>132.50805896593843</v>
      </c>
      <c r="AG11" s="172">
        <f t="shared" ref="AG11:AG16" si="2">Q11/P11*100</f>
        <v>84.139056913673045</v>
      </c>
      <c r="AH11" s="172">
        <f t="shared" ref="AH11:AH16" si="3">AC11/Q11*100</f>
        <v>97.461814967729126</v>
      </c>
      <c r="AI11" s="171"/>
      <c r="AJ11" s="171">
        <v>6922720</v>
      </c>
      <c r="AK11" s="171">
        <f t="shared" ref="AK11:AK17" si="4">W11/R11*100</f>
        <v>129.41435043496548</v>
      </c>
      <c r="AL11" s="171">
        <f t="shared" ref="AL11:AM16" si="5">X11/W11*100</f>
        <v>124.00876552227903</v>
      </c>
      <c r="AM11" s="171">
        <f t="shared" si="5"/>
        <v>101.94382922576692</v>
      </c>
      <c r="AN11" s="90"/>
      <c r="AO11" s="193" t="e">
        <f t="shared" ref="AO11:AO30" ca="1" si="6">__xlfn.ISFORMULA(N11)</f>
        <v>#NAME?</v>
      </c>
      <c r="AP11" s="193" t="e">
        <f t="shared" ref="AP11:AP38" ca="1" si="7">__xlfn.ISFORMULA(X11)</f>
        <v>#NAME?</v>
      </c>
      <c r="AQ11" s="89">
        <f>AQ48</f>
        <v>4785432.96</v>
      </c>
      <c r="AR11" s="194">
        <f t="shared" ref="AR11:AR17" si="8">V11/R11*100</f>
        <v>129.41435043496548</v>
      </c>
      <c r="AS11" s="194">
        <f t="shared" ref="AS11:AS16" si="9">W11/V11*100</f>
        <v>100</v>
      </c>
      <c r="AT11" s="194">
        <f t="shared" ref="AT11:AT17" si="10">W11/R11*100</f>
        <v>129.41435043496548</v>
      </c>
      <c r="AU11" s="194">
        <f t="shared" ref="AU11:AU17" si="11">AQ11/W11*100</f>
        <v>87.389206720233744</v>
      </c>
      <c r="AV11" s="194">
        <f t="shared" ref="AV11:AV17" si="12">AQ11/R11*100</f>
        <v>113.09417422725974</v>
      </c>
    </row>
    <row r="12" spans="1:48" ht="12" customHeight="1">
      <c r="A12" s="42"/>
      <c r="B12" s="42"/>
      <c r="C12" s="42"/>
      <c r="D12" s="42"/>
      <c r="E12" s="42"/>
      <c r="F12" s="42"/>
      <c r="G12" s="42"/>
      <c r="H12" s="2" t="s">
        <v>29</v>
      </c>
      <c r="I12" s="14"/>
      <c r="J12" s="2"/>
      <c r="K12" s="2"/>
      <c r="L12" s="88">
        <f t="shared" ref="L12:Y12" si="13">L173</f>
        <v>57946</v>
      </c>
      <c r="M12" s="88">
        <f t="shared" si="13"/>
        <v>7690.7558563939201</v>
      </c>
      <c r="N12" s="89">
        <f t="shared" si="13"/>
        <v>2919</v>
      </c>
      <c r="O12" s="89">
        <f t="shared" si="13"/>
        <v>387.41787776229341</v>
      </c>
      <c r="P12" s="90">
        <f t="shared" si="13"/>
        <v>420530</v>
      </c>
      <c r="Q12" s="90">
        <f t="shared" si="13"/>
        <v>327930</v>
      </c>
      <c r="R12" s="88">
        <f t="shared" si="13"/>
        <v>327930</v>
      </c>
      <c r="S12" s="90">
        <f t="shared" si="13"/>
        <v>0</v>
      </c>
      <c r="T12" s="90">
        <f t="shared" si="13"/>
        <v>0</v>
      </c>
      <c r="U12" s="90" t="e">
        <f t="shared" ca="1" si="13"/>
        <v>#NAME?</v>
      </c>
      <c r="V12" s="89">
        <f t="shared" si="13"/>
        <v>5130</v>
      </c>
      <c r="W12" s="89">
        <f t="shared" si="13"/>
        <v>5130</v>
      </c>
      <c r="X12" s="88">
        <f t="shared" si="13"/>
        <v>200530</v>
      </c>
      <c r="Y12" s="171">
        <f t="shared" si="13"/>
        <v>530</v>
      </c>
      <c r="Z12" s="171"/>
      <c r="AA12" s="171"/>
      <c r="AB12" s="171"/>
      <c r="AC12" s="172">
        <f>AC173</f>
        <v>100530</v>
      </c>
      <c r="AD12" s="172">
        <f>AD173</f>
        <v>100530</v>
      </c>
      <c r="AE12" s="172">
        <f t="shared" si="1"/>
        <v>5.0374486590964</v>
      </c>
      <c r="AF12" s="172"/>
      <c r="AG12" s="172">
        <f t="shared" si="2"/>
        <v>77.980167883385249</v>
      </c>
      <c r="AH12" s="172">
        <f t="shared" si="3"/>
        <v>30.655932668557313</v>
      </c>
      <c r="AI12" s="171"/>
      <c r="AJ12" s="171">
        <v>530</v>
      </c>
      <c r="AK12" s="171">
        <f t="shared" si="4"/>
        <v>1.5643582471868995</v>
      </c>
      <c r="AL12" s="171">
        <f t="shared" si="5"/>
        <v>3908.966861598441</v>
      </c>
      <c r="AM12" s="171">
        <f t="shared" si="5"/>
        <v>0.26429960604398345</v>
      </c>
      <c r="AN12" s="90"/>
      <c r="AO12" s="193" t="e">
        <f t="shared" ca="1" si="6"/>
        <v>#NAME?</v>
      </c>
      <c r="AP12" s="193" t="e">
        <f t="shared" ca="1" si="7"/>
        <v>#NAME?</v>
      </c>
      <c r="AQ12" s="89">
        <f>AQ173</f>
        <v>4971.54</v>
      </c>
      <c r="AR12" s="194">
        <f t="shared" si="8"/>
        <v>1.5643582471868995</v>
      </c>
      <c r="AS12" s="194">
        <f t="shared" si="9"/>
        <v>100</v>
      </c>
      <c r="AT12" s="194">
        <f t="shared" si="10"/>
        <v>1.5643582471868995</v>
      </c>
      <c r="AU12" s="194">
        <f t="shared" si="11"/>
        <v>96.911111111111111</v>
      </c>
      <c r="AV12" s="194">
        <f t="shared" si="12"/>
        <v>1.5160369591071265</v>
      </c>
    </row>
    <row r="13" spans="1:48" ht="12" customHeight="1">
      <c r="A13" s="42"/>
      <c r="B13" s="42"/>
      <c r="C13" s="42"/>
      <c r="D13" s="42"/>
      <c r="E13" s="42"/>
      <c r="F13" s="42"/>
      <c r="G13" s="42"/>
      <c r="H13" s="2" t="s">
        <v>30</v>
      </c>
      <c r="I13" s="14"/>
      <c r="J13" s="43"/>
      <c r="K13" s="91"/>
      <c r="L13" s="88">
        <f t="shared" ref="L13:AD13" si="14">L11+L12</f>
        <v>26920766</v>
      </c>
      <c r="M13" s="88">
        <f t="shared" si="14"/>
        <v>3572999.7964032115</v>
      </c>
      <c r="N13" s="89">
        <f t="shared" si="14"/>
        <v>28598275</v>
      </c>
      <c r="O13" s="89">
        <f t="shared" si="14"/>
        <v>3795643.3738137889</v>
      </c>
      <c r="P13" s="90">
        <f t="shared" si="14"/>
        <v>5449550</v>
      </c>
      <c r="Q13" s="90">
        <f t="shared" si="14"/>
        <v>4559300</v>
      </c>
      <c r="R13" s="88">
        <f t="shared" si="14"/>
        <v>4559300</v>
      </c>
      <c r="S13" s="90">
        <f t="shared" si="14"/>
        <v>2806152.65</v>
      </c>
      <c r="T13" s="90">
        <f t="shared" si="14"/>
        <v>1547844.5100000002</v>
      </c>
      <c r="U13" s="90" t="e">
        <f t="shared" ca="1" si="14"/>
        <v>#NAME?</v>
      </c>
      <c r="V13" s="89">
        <f t="shared" si="14"/>
        <v>5481130</v>
      </c>
      <c r="W13" s="89">
        <f t="shared" si="14"/>
        <v>5481130</v>
      </c>
      <c r="X13" s="88">
        <f t="shared" si="14"/>
        <v>6991250</v>
      </c>
      <c r="Y13" s="171">
        <f t="shared" si="14"/>
        <v>6923250</v>
      </c>
      <c r="Z13" s="171"/>
      <c r="AA13" s="171"/>
      <c r="AB13" s="171"/>
      <c r="AC13" s="172">
        <f t="shared" si="14"/>
        <v>4224500</v>
      </c>
      <c r="AD13" s="172">
        <f t="shared" si="14"/>
        <v>4224500</v>
      </c>
      <c r="AE13" s="172">
        <f t="shared" si="1"/>
        <v>106.23127876006888</v>
      </c>
      <c r="AF13" s="172">
        <f>P13/O13*100</f>
        <v>143.57381511647122</v>
      </c>
      <c r="AG13" s="172">
        <f t="shared" si="2"/>
        <v>83.66378875319981</v>
      </c>
      <c r="AH13" s="172">
        <f t="shared" si="3"/>
        <v>92.65676748623693</v>
      </c>
      <c r="AI13" s="171"/>
      <c r="AJ13" s="171">
        <v>6923250</v>
      </c>
      <c r="AK13" s="171">
        <f t="shared" si="4"/>
        <v>120.21867391924199</v>
      </c>
      <c r="AL13" s="171">
        <f t="shared" si="5"/>
        <v>127.55125311751409</v>
      </c>
      <c r="AM13" s="171">
        <f t="shared" si="5"/>
        <v>99.027355623100306</v>
      </c>
      <c r="AN13" s="90"/>
      <c r="AO13" s="193" t="e">
        <f t="shared" ca="1" si="6"/>
        <v>#NAME?</v>
      </c>
      <c r="AP13" s="193" t="e">
        <f t="shared" ca="1" si="7"/>
        <v>#NAME?</v>
      </c>
      <c r="AQ13" s="89">
        <f>AQ11+AQ12</f>
        <v>4790404.5</v>
      </c>
      <c r="AR13" s="194">
        <f t="shared" si="8"/>
        <v>120.21867391924199</v>
      </c>
      <c r="AS13" s="194">
        <f t="shared" si="9"/>
        <v>100</v>
      </c>
      <c r="AT13" s="194">
        <f t="shared" si="10"/>
        <v>120.21867391924199</v>
      </c>
      <c r="AU13" s="194">
        <f t="shared" si="11"/>
        <v>87.398118636120657</v>
      </c>
      <c r="AV13" s="194">
        <f t="shared" si="12"/>
        <v>105.06885925471015</v>
      </c>
    </row>
    <row r="14" spans="1:48" ht="12" customHeight="1">
      <c r="A14" s="42"/>
      <c r="B14" s="42"/>
      <c r="C14" s="42"/>
      <c r="D14" s="42"/>
      <c r="E14" s="42"/>
      <c r="F14" s="42"/>
      <c r="G14" s="42"/>
      <c r="H14" s="2" t="s">
        <v>31</v>
      </c>
      <c r="I14" s="14"/>
      <c r="J14" s="2"/>
      <c r="K14" s="2"/>
      <c r="L14" s="88">
        <f t="shared" ref="L14:Y14" si="15">L201</f>
        <v>20517207</v>
      </c>
      <c r="M14" s="88">
        <f t="shared" si="15"/>
        <v>2723101.3338642246</v>
      </c>
      <c r="N14" s="89">
        <f t="shared" si="15"/>
        <v>22082242</v>
      </c>
      <c r="O14" s="89">
        <f t="shared" si="15"/>
        <v>2930817.1743314085</v>
      </c>
      <c r="P14" s="90">
        <f t="shared" si="15"/>
        <v>3636679.5089256088</v>
      </c>
      <c r="Q14" s="90">
        <f t="shared" si="15"/>
        <v>3883760</v>
      </c>
      <c r="R14" s="88">
        <f t="shared" si="15"/>
        <v>3466709</v>
      </c>
      <c r="S14" s="90" t="e">
        <f t="shared" ca="1" si="15"/>
        <v>#NAME?</v>
      </c>
      <c r="T14" s="90">
        <f t="shared" si="15"/>
        <v>0</v>
      </c>
      <c r="U14" s="90" t="e">
        <f t="shared" ca="1" si="15"/>
        <v>#NAME?</v>
      </c>
      <c r="V14" s="89">
        <f t="shared" si="15"/>
        <v>4580459.93</v>
      </c>
      <c r="W14" s="89">
        <f t="shared" si="15"/>
        <v>4579688.93</v>
      </c>
      <c r="X14" s="88">
        <f t="shared" si="15"/>
        <v>5886750</v>
      </c>
      <c r="Y14" s="171" t="e">
        <f t="shared" ca="1" si="15"/>
        <v>#NAME?</v>
      </c>
      <c r="Z14" s="171"/>
      <c r="AA14" s="171"/>
      <c r="AB14" s="171"/>
      <c r="AC14" s="172">
        <f>AC201</f>
        <v>3729400</v>
      </c>
      <c r="AD14" s="172">
        <f>AD201</f>
        <v>3729400</v>
      </c>
      <c r="AE14" s="172">
        <f t="shared" si="1"/>
        <v>107.62791446223649</v>
      </c>
      <c r="AF14" s="172">
        <f>P14/O14*100</f>
        <v>124.08414761508367</v>
      </c>
      <c r="AG14" s="172">
        <f t="shared" si="2"/>
        <v>106.79412333333124</v>
      </c>
      <c r="AH14" s="172">
        <f t="shared" si="3"/>
        <v>96.025501060827651</v>
      </c>
      <c r="AI14" s="171"/>
      <c r="AJ14" s="171">
        <v>6011750</v>
      </c>
      <c r="AK14" s="171">
        <f t="shared" si="4"/>
        <v>132.10479823948302</v>
      </c>
      <c r="AL14" s="171">
        <f t="shared" si="5"/>
        <v>128.54038975088207</v>
      </c>
      <c r="AM14" s="171" t="e">
        <f t="shared" ca="1" si="5"/>
        <v>#NAME?</v>
      </c>
      <c r="AN14" s="90"/>
      <c r="AO14" s="193" t="e">
        <f t="shared" ca="1" si="6"/>
        <v>#NAME?</v>
      </c>
      <c r="AP14" s="193" t="e">
        <f t="shared" ca="1" si="7"/>
        <v>#NAME?</v>
      </c>
      <c r="AQ14" s="89">
        <f>AQ201</f>
        <v>4098086.93</v>
      </c>
      <c r="AR14" s="194">
        <f t="shared" si="8"/>
        <v>132.12703835251241</v>
      </c>
      <c r="AS14" s="194">
        <f t="shared" si="9"/>
        <v>99.983167629194824</v>
      </c>
      <c r="AT14" s="194">
        <f t="shared" si="10"/>
        <v>132.10479823948302</v>
      </c>
      <c r="AU14" s="194">
        <f t="shared" si="11"/>
        <v>89.483958247793055</v>
      </c>
      <c r="AV14" s="194">
        <f t="shared" si="12"/>
        <v>118.21260249995025</v>
      </c>
    </row>
    <row r="15" spans="1:48" ht="12" customHeight="1">
      <c r="A15" s="42"/>
      <c r="B15" s="42"/>
      <c r="C15" s="42"/>
      <c r="D15" s="42"/>
      <c r="E15" s="42"/>
      <c r="F15" s="42"/>
      <c r="G15" s="42"/>
      <c r="H15" s="2" t="s">
        <v>32</v>
      </c>
      <c r="I15" s="14"/>
      <c r="J15" s="2"/>
      <c r="K15" s="2"/>
      <c r="L15" s="88">
        <f t="shared" ref="L15:Y15" si="16">L308</f>
        <v>4478424</v>
      </c>
      <c r="M15" s="88">
        <f t="shared" si="16"/>
        <v>594389.01055146323</v>
      </c>
      <c r="N15" s="89">
        <f t="shared" si="16"/>
        <v>2004477</v>
      </c>
      <c r="O15" s="89">
        <f t="shared" si="16"/>
        <v>266039.81684252433</v>
      </c>
      <c r="P15" s="90">
        <f t="shared" si="16"/>
        <v>1536700</v>
      </c>
      <c r="Q15" s="90">
        <f t="shared" si="16"/>
        <v>662060</v>
      </c>
      <c r="R15" s="88">
        <f t="shared" si="16"/>
        <v>728804</v>
      </c>
      <c r="S15" s="90" t="e">
        <f t="shared" ca="1" si="16"/>
        <v>#NAME?</v>
      </c>
      <c r="T15" s="90">
        <f t="shared" si="16"/>
        <v>0</v>
      </c>
      <c r="U15" s="90" t="e">
        <f t="shared" ca="1" si="16"/>
        <v>#NAME?</v>
      </c>
      <c r="V15" s="89">
        <f t="shared" si="16"/>
        <v>730000</v>
      </c>
      <c r="W15" s="89">
        <f t="shared" si="16"/>
        <v>730771</v>
      </c>
      <c r="X15" s="88">
        <f t="shared" si="16"/>
        <v>1104500</v>
      </c>
      <c r="Y15" s="171">
        <f t="shared" si="16"/>
        <v>911500.3</v>
      </c>
      <c r="Z15" s="171"/>
      <c r="AA15" s="171"/>
      <c r="AB15" s="171"/>
      <c r="AC15" s="172">
        <f>AC308</f>
        <v>495100</v>
      </c>
      <c r="AD15" s="172">
        <f>AD308</f>
        <v>495100</v>
      </c>
      <c r="AE15" s="172">
        <f t="shared" si="1"/>
        <v>44.75853559198503</v>
      </c>
      <c r="AF15" s="172">
        <f>P15/O15*100</f>
        <v>577.62030444849211</v>
      </c>
      <c r="AG15" s="172">
        <f t="shared" si="2"/>
        <v>43.083230298692001</v>
      </c>
      <c r="AH15" s="172">
        <f t="shared" si="3"/>
        <v>74.781741836087363</v>
      </c>
      <c r="AI15" s="171"/>
      <c r="AJ15" s="171">
        <v>911500.3</v>
      </c>
      <c r="AK15" s="171">
        <f t="shared" si="4"/>
        <v>100.26989423768255</v>
      </c>
      <c r="AL15" s="171">
        <f t="shared" si="5"/>
        <v>151.14173934105213</v>
      </c>
      <c r="AM15" s="171">
        <f t="shared" si="5"/>
        <v>82.526057039384341</v>
      </c>
      <c r="AN15" s="90"/>
      <c r="AO15" s="193" t="e">
        <f t="shared" ca="1" si="6"/>
        <v>#NAME?</v>
      </c>
      <c r="AP15" s="193" t="e">
        <f t="shared" ca="1" si="7"/>
        <v>#NAME?</v>
      </c>
      <c r="AQ15" s="89">
        <f>AQ308</f>
        <v>648786.97999999986</v>
      </c>
      <c r="AR15" s="194">
        <f t="shared" si="8"/>
        <v>100.16410447802153</v>
      </c>
      <c r="AS15" s="194">
        <f t="shared" si="9"/>
        <v>100.10561643835617</v>
      </c>
      <c r="AT15" s="194">
        <f t="shared" si="10"/>
        <v>100.26989423768255</v>
      </c>
      <c r="AU15" s="194">
        <f t="shared" si="11"/>
        <v>88.781161266662181</v>
      </c>
      <c r="AV15" s="194">
        <f t="shared" si="12"/>
        <v>89.020776505068554</v>
      </c>
    </row>
    <row r="16" spans="1:48" ht="12" customHeight="1">
      <c r="A16" s="42"/>
      <c r="B16" s="42"/>
      <c r="C16" s="42"/>
      <c r="D16" s="42"/>
      <c r="E16" s="42"/>
      <c r="F16" s="42"/>
      <c r="G16" s="42"/>
      <c r="H16" s="2" t="s">
        <v>33</v>
      </c>
      <c r="I16" s="14"/>
      <c r="J16" s="2"/>
      <c r="K16" s="2"/>
      <c r="L16" s="88">
        <f t="shared" ref="L16:AD16" si="17">L14+L15</f>
        <v>24995631</v>
      </c>
      <c r="M16" s="88">
        <f t="shared" si="17"/>
        <v>3317490.344415688</v>
      </c>
      <c r="N16" s="89">
        <f t="shared" si="17"/>
        <v>24086719</v>
      </c>
      <c r="O16" s="89">
        <f t="shared" si="17"/>
        <v>3196856.9911739328</v>
      </c>
      <c r="P16" s="90">
        <f t="shared" si="17"/>
        <v>5173379.5089256093</v>
      </c>
      <c r="Q16" s="90">
        <f t="shared" si="17"/>
        <v>4545820</v>
      </c>
      <c r="R16" s="88">
        <f t="shared" si="17"/>
        <v>4195513</v>
      </c>
      <c r="S16" s="90" t="e">
        <f t="shared" ca="1" si="17"/>
        <v>#NAME?</v>
      </c>
      <c r="T16" s="90">
        <f t="shared" si="17"/>
        <v>0</v>
      </c>
      <c r="U16" s="90" t="e">
        <f t="shared" ca="1" si="17"/>
        <v>#NAME?</v>
      </c>
      <c r="V16" s="89">
        <f t="shared" si="17"/>
        <v>5310459.93</v>
      </c>
      <c r="W16" s="89">
        <f t="shared" si="17"/>
        <v>5310459.93</v>
      </c>
      <c r="X16" s="88">
        <f t="shared" si="17"/>
        <v>6991250</v>
      </c>
      <c r="Y16" s="171" t="e">
        <f t="shared" ca="1" si="17"/>
        <v>#NAME?</v>
      </c>
      <c r="Z16" s="171"/>
      <c r="AA16" s="171"/>
      <c r="AB16" s="171"/>
      <c r="AC16" s="172">
        <f t="shared" si="17"/>
        <v>4224500</v>
      </c>
      <c r="AD16" s="172">
        <f t="shared" si="17"/>
        <v>4224500</v>
      </c>
      <c r="AE16" s="172">
        <f t="shared" si="1"/>
        <v>96.363716523099569</v>
      </c>
      <c r="AF16" s="172">
        <f>P16/O16*100</f>
        <v>161.82705461046817</v>
      </c>
      <c r="AG16" s="172">
        <f t="shared" si="2"/>
        <v>87.869447662927428</v>
      </c>
      <c r="AH16" s="172">
        <f t="shared" si="3"/>
        <v>92.93152830512426</v>
      </c>
      <c r="AI16" s="171"/>
      <c r="AJ16" s="171">
        <v>6923250.2999999998</v>
      </c>
      <c r="AK16" s="171">
        <f t="shared" si="4"/>
        <v>126.57474616334163</v>
      </c>
      <c r="AL16" s="171">
        <f t="shared" si="5"/>
        <v>131.65055554802012</v>
      </c>
      <c r="AM16" s="171" t="e">
        <f t="shared" ca="1" si="5"/>
        <v>#NAME?</v>
      </c>
      <c r="AN16" s="90"/>
      <c r="AO16" s="193" t="e">
        <f t="shared" ca="1" si="6"/>
        <v>#NAME?</v>
      </c>
      <c r="AP16" s="193" t="e">
        <f t="shared" ca="1" si="7"/>
        <v>#NAME?</v>
      </c>
      <c r="AQ16" s="89">
        <f>AQ14+AQ15</f>
        <v>4746873.91</v>
      </c>
      <c r="AR16" s="194">
        <f t="shared" si="8"/>
        <v>126.57474616334163</v>
      </c>
      <c r="AS16" s="194">
        <f t="shared" si="9"/>
        <v>100</v>
      </c>
      <c r="AT16" s="194">
        <f t="shared" si="10"/>
        <v>126.57474616334163</v>
      </c>
      <c r="AU16" s="194">
        <f t="shared" si="11"/>
        <v>89.38724653930305</v>
      </c>
      <c r="AV16" s="194">
        <f t="shared" si="12"/>
        <v>113.14168040952322</v>
      </c>
    </row>
    <row r="17" spans="1:48" ht="12" customHeight="1">
      <c r="A17" s="42"/>
      <c r="B17" s="42"/>
      <c r="C17" s="42"/>
      <c r="D17" s="42"/>
      <c r="E17" s="42"/>
      <c r="F17" s="42"/>
      <c r="G17" s="42"/>
      <c r="H17" s="2" t="s">
        <v>34</v>
      </c>
      <c r="I17" s="92"/>
      <c r="J17" s="93"/>
      <c r="K17" s="91"/>
      <c r="L17" s="88">
        <f t="shared" ref="L17:AD17" si="18">L13-L16</f>
        <v>1925135</v>
      </c>
      <c r="M17" s="88">
        <f t="shared" si="18"/>
        <v>255509.45198752359</v>
      </c>
      <c r="N17" s="89">
        <f t="shared" si="18"/>
        <v>4511556</v>
      </c>
      <c r="O17" s="89">
        <f t="shared" si="18"/>
        <v>598786.38263985608</v>
      </c>
      <c r="P17" s="90">
        <f t="shared" si="18"/>
        <v>276170.49107439071</v>
      </c>
      <c r="Q17" s="90">
        <f t="shared" si="18"/>
        <v>13480</v>
      </c>
      <c r="R17" s="88">
        <f t="shared" si="18"/>
        <v>363787</v>
      </c>
      <c r="S17" s="90" t="e">
        <f t="shared" ca="1" si="18"/>
        <v>#NAME?</v>
      </c>
      <c r="T17" s="90">
        <f t="shared" si="18"/>
        <v>1547844.5100000002</v>
      </c>
      <c r="U17" s="90" t="e">
        <f t="shared" ca="1" si="18"/>
        <v>#NAME?</v>
      </c>
      <c r="V17" s="89">
        <f t="shared" si="18"/>
        <v>170670.0700000003</v>
      </c>
      <c r="W17" s="89">
        <f t="shared" si="18"/>
        <v>170670.0700000003</v>
      </c>
      <c r="X17" s="88">
        <f t="shared" si="18"/>
        <v>0</v>
      </c>
      <c r="Y17" s="171" t="e">
        <f t="shared" ca="1" si="18"/>
        <v>#NAME?</v>
      </c>
      <c r="Z17" s="171"/>
      <c r="AA17" s="171"/>
      <c r="AB17" s="171"/>
      <c r="AC17" s="172">
        <f t="shared" si="18"/>
        <v>0</v>
      </c>
      <c r="AD17" s="172">
        <f t="shared" si="18"/>
        <v>0</v>
      </c>
      <c r="AE17" s="172"/>
      <c r="AF17" s="172"/>
      <c r="AG17" s="172"/>
      <c r="AH17" s="172"/>
      <c r="AI17" s="171"/>
      <c r="AJ17" s="171">
        <v>-0.29999999981373499</v>
      </c>
      <c r="AK17" s="171">
        <f t="shared" si="4"/>
        <v>46.91483477969259</v>
      </c>
      <c r="AL17" s="171">
        <f>X17/W17*100</f>
        <v>0</v>
      </c>
      <c r="AM17" s="171"/>
      <c r="AN17" s="90"/>
      <c r="AO17" s="193" t="e">
        <f t="shared" ca="1" si="6"/>
        <v>#NAME?</v>
      </c>
      <c r="AP17" s="193" t="e">
        <f t="shared" ca="1" si="7"/>
        <v>#NAME?</v>
      </c>
      <c r="AQ17" s="89">
        <f>AQ13-AQ16</f>
        <v>43530.589999999851</v>
      </c>
      <c r="AR17" s="194">
        <f t="shared" si="8"/>
        <v>46.91483477969259</v>
      </c>
      <c r="AS17" s="194"/>
      <c r="AT17" s="194">
        <f t="shared" si="10"/>
        <v>46.91483477969259</v>
      </c>
      <c r="AU17" s="194">
        <f t="shared" si="11"/>
        <v>25.505696458670098</v>
      </c>
      <c r="AV17" s="194">
        <f t="shared" si="12"/>
        <v>11.96595535299498</v>
      </c>
    </row>
    <row r="18" spans="1:48" ht="12" customHeight="1">
      <c r="A18" s="42"/>
      <c r="B18" s="42"/>
      <c r="C18" s="42"/>
      <c r="D18" s="42"/>
      <c r="E18" s="42"/>
      <c r="F18" s="42"/>
      <c r="G18" s="42"/>
      <c r="H18" s="2" t="s">
        <v>35</v>
      </c>
      <c r="I18" s="14"/>
      <c r="J18" s="2"/>
      <c r="K18" s="2"/>
      <c r="L18" s="88"/>
      <c r="M18" s="88"/>
      <c r="N18" s="89"/>
      <c r="O18" s="89"/>
      <c r="P18" s="90"/>
      <c r="Q18" s="90"/>
      <c r="R18" s="88"/>
      <c r="S18" s="90"/>
      <c r="T18" s="90"/>
      <c r="U18" s="90"/>
      <c r="V18" s="89"/>
      <c r="W18" s="89"/>
      <c r="X18" s="88"/>
      <c r="Y18" s="171"/>
      <c r="Z18" s="171"/>
      <c r="AA18" s="171"/>
      <c r="AB18" s="171"/>
      <c r="AC18" s="172"/>
      <c r="AD18" s="172"/>
      <c r="AE18" s="172"/>
      <c r="AF18" s="172"/>
      <c r="AG18" s="172"/>
      <c r="AH18" s="172"/>
      <c r="AI18" s="171"/>
      <c r="AJ18" s="171"/>
      <c r="AK18" s="171"/>
      <c r="AL18" s="171"/>
      <c r="AM18" s="171"/>
      <c r="AN18" s="90"/>
      <c r="AO18" s="193" t="e">
        <f t="shared" ca="1" si="6"/>
        <v>#NAME?</v>
      </c>
      <c r="AP18" s="193" t="e">
        <f t="shared" ca="1" si="7"/>
        <v>#NAME?</v>
      </c>
      <c r="AQ18" s="89"/>
      <c r="AR18" s="194"/>
      <c r="AS18" s="194"/>
      <c r="AT18" s="194"/>
      <c r="AU18" s="194"/>
      <c r="AV18" s="194"/>
    </row>
    <row r="19" spans="1:48" ht="12" customHeight="1">
      <c r="A19" s="42"/>
      <c r="B19" s="42"/>
      <c r="C19" s="42"/>
      <c r="D19" s="42"/>
      <c r="E19" s="42"/>
      <c r="F19" s="42"/>
      <c r="G19" s="42"/>
      <c r="H19" s="2" t="s">
        <v>36</v>
      </c>
      <c r="I19" s="14"/>
      <c r="J19" s="2"/>
      <c r="K19" s="2"/>
      <c r="L19" s="88"/>
      <c r="M19" s="88"/>
      <c r="N19" s="89"/>
      <c r="O19" s="89"/>
      <c r="P19" s="90"/>
      <c r="Q19" s="90"/>
      <c r="R19" s="88"/>
      <c r="S19" s="90"/>
      <c r="T19" s="90"/>
      <c r="U19" s="90"/>
      <c r="V19" s="89"/>
      <c r="W19" s="89"/>
      <c r="X19" s="88"/>
      <c r="Y19" s="171"/>
      <c r="Z19" s="171"/>
      <c r="AA19" s="171"/>
      <c r="AB19" s="171"/>
      <c r="AC19" s="172"/>
      <c r="AD19" s="172"/>
      <c r="AE19" s="172"/>
      <c r="AF19" s="172"/>
      <c r="AG19" s="172"/>
      <c r="AH19" s="172"/>
      <c r="AI19" s="171"/>
      <c r="AJ19" s="171"/>
      <c r="AK19" s="171"/>
      <c r="AL19" s="171"/>
      <c r="AM19" s="171"/>
      <c r="AN19" s="90"/>
      <c r="AO19" s="193" t="e">
        <f t="shared" ca="1" si="6"/>
        <v>#NAME?</v>
      </c>
      <c r="AP19" s="193" t="e">
        <f t="shared" ca="1" si="7"/>
        <v>#NAME?</v>
      </c>
      <c r="AQ19" s="89"/>
      <c r="AR19" s="194"/>
      <c r="AS19" s="194"/>
      <c r="AT19" s="194"/>
      <c r="AU19" s="194"/>
      <c r="AV19" s="194"/>
    </row>
    <row r="20" spans="1:48" ht="12" customHeight="1">
      <c r="A20" s="42"/>
      <c r="B20" s="42"/>
      <c r="C20" s="42"/>
      <c r="D20" s="42"/>
      <c r="E20" s="42"/>
      <c r="F20" s="42"/>
      <c r="G20" s="42"/>
      <c r="H20" s="2" t="s">
        <v>37</v>
      </c>
      <c r="I20" s="14"/>
      <c r="J20" s="2"/>
      <c r="K20" s="2"/>
      <c r="L20" s="88"/>
      <c r="M20" s="88"/>
      <c r="N20" s="89">
        <v>-602523</v>
      </c>
      <c r="O20" s="89">
        <f>N20/7.5345</f>
        <v>-79968.544694405733</v>
      </c>
      <c r="P20" s="90"/>
      <c r="Q20" s="90"/>
      <c r="R20" s="88"/>
      <c r="S20" s="90"/>
      <c r="T20" s="90"/>
      <c r="U20" s="90"/>
      <c r="V20" s="89"/>
      <c r="W20" s="89"/>
      <c r="X20" s="88"/>
      <c r="Y20" s="171"/>
      <c r="Z20" s="171"/>
      <c r="AA20" s="171"/>
      <c r="AB20" s="171"/>
      <c r="AC20" s="172"/>
      <c r="AD20" s="172"/>
      <c r="AE20" s="172"/>
      <c r="AF20" s="172"/>
      <c r="AG20" s="172"/>
      <c r="AH20" s="172"/>
      <c r="AI20" s="171"/>
      <c r="AJ20" s="171"/>
      <c r="AK20" s="171"/>
      <c r="AL20" s="171"/>
      <c r="AM20" s="171"/>
      <c r="AN20" s="90"/>
      <c r="AO20" s="193" t="e">
        <f t="shared" ca="1" si="6"/>
        <v>#NAME?</v>
      </c>
      <c r="AP20" s="193" t="e">
        <f t="shared" ca="1" si="7"/>
        <v>#NAME?</v>
      </c>
      <c r="AQ20" s="89"/>
      <c r="AR20" s="194"/>
      <c r="AS20" s="194"/>
      <c r="AT20" s="194"/>
      <c r="AU20" s="194"/>
      <c r="AV20" s="194"/>
    </row>
    <row r="21" spans="1:48" ht="12" customHeight="1">
      <c r="A21" s="42"/>
      <c r="B21" s="42"/>
      <c r="C21" s="42"/>
      <c r="D21" s="42"/>
      <c r="E21" s="42"/>
      <c r="F21" s="42"/>
      <c r="G21" s="42"/>
      <c r="H21" s="2" t="s">
        <v>38</v>
      </c>
      <c r="I21" s="14"/>
      <c r="J21" s="2"/>
      <c r="K21" s="2"/>
      <c r="L21" s="88">
        <v>-9059</v>
      </c>
      <c r="M21" s="88">
        <f>-9059/7.5345</f>
        <v>-1202.3359214280974</v>
      </c>
      <c r="N21" s="89">
        <v>-1790</v>
      </c>
      <c r="O21" s="89">
        <f>N21/7.5345</f>
        <v>-237.57382706218061</v>
      </c>
      <c r="P21" s="90">
        <v>-14110</v>
      </c>
      <c r="Q21" s="90">
        <v>-14110</v>
      </c>
      <c r="R21" s="88">
        <v>-68</v>
      </c>
      <c r="S21" s="90">
        <v>-68</v>
      </c>
      <c r="T21" s="90">
        <v>-68</v>
      </c>
      <c r="U21" s="90">
        <v>-68</v>
      </c>
      <c r="V21" s="89">
        <v>-14050</v>
      </c>
      <c r="W21" s="89">
        <v>-14050</v>
      </c>
      <c r="X21" s="88"/>
      <c r="Y21" s="171"/>
      <c r="Z21" s="171"/>
      <c r="AA21" s="171"/>
      <c r="AB21" s="171"/>
      <c r="AC21" s="172"/>
      <c r="AD21" s="172"/>
      <c r="AE21" s="172"/>
      <c r="AF21" s="172"/>
      <c r="AG21" s="172"/>
      <c r="AH21" s="172"/>
      <c r="AI21" s="171"/>
      <c r="AJ21" s="171"/>
      <c r="AK21" s="171"/>
      <c r="AL21" s="171">
        <f>X21/W21*100</f>
        <v>0</v>
      </c>
      <c r="AM21" s="171"/>
      <c r="AN21" s="90"/>
      <c r="AO21" s="193" t="e">
        <f t="shared" ca="1" si="6"/>
        <v>#NAME?</v>
      </c>
      <c r="AP21" s="193" t="e">
        <f t="shared" ca="1" si="7"/>
        <v>#NAME?</v>
      </c>
      <c r="AQ21" s="89"/>
      <c r="AR21" s="194"/>
      <c r="AS21" s="194"/>
      <c r="AT21" s="194"/>
      <c r="AU21" s="194"/>
      <c r="AV21" s="194"/>
    </row>
    <row r="22" spans="1:48" ht="12" customHeight="1">
      <c r="A22" s="42"/>
      <c r="B22" s="42"/>
      <c r="C22" s="42"/>
      <c r="D22" s="42"/>
      <c r="E22" s="42"/>
      <c r="F22" s="42"/>
      <c r="G22" s="42"/>
      <c r="H22" s="2" t="s">
        <v>39</v>
      </c>
      <c r="I22" s="14"/>
      <c r="J22" s="2"/>
      <c r="K22" s="2"/>
      <c r="L22" s="88"/>
      <c r="M22" s="88"/>
      <c r="N22" s="89">
        <v>260041</v>
      </c>
      <c r="O22" s="89">
        <f>N22/7.5345</f>
        <v>34513.371822947774</v>
      </c>
      <c r="P22" s="90"/>
      <c r="Q22" s="90"/>
      <c r="R22" s="88"/>
      <c r="S22" s="90"/>
      <c r="T22" s="90"/>
      <c r="U22" s="90"/>
      <c r="V22" s="89"/>
      <c r="W22" s="89"/>
      <c r="X22" s="88"/>
      <c r="Y22" s="171"/>
      <c r="Z22" s="171"/>
      <c r="AA22" s="171"/>
      <c r="AB22" s="171"/>
      <c r="AC22" s="172"/>
      <c r="AD22" s="172"/>
      <c r="AE22" s="172"/>
      <c r="AF22" s="172"/>
      <c r="AG22" s="172"/>
      <c r="AH22" s="172"/>
      <c r="AI22" s="171"/>
      <c r="AJ22" s="171"/>
      <c r="AK22" s="171"/>
      <c r="AL22" s="171"/>
      <c r="AM22" s="171"/>
      <c r="AN22" s="90"/>
      <c r="AO22" s="193" t="e">
        <f t="shared" ca="1" si="6"/>
        <v>#NAME?</v>
      </c>
      <c r="AP22" s="193" t="e">
        <f t="shared" ca="1" si="7"/>
        <v>#NAME?</v>
      </c>
      <c r="AQ22" s="89"/>
      <c r="AR22" s="194"/>
      <c r="AS22" s="194"/>
      <c r="AT22" s="194"/>
      <c r="AU22" s="194"/>
      <c r="AV22" s="194"/>
    </row>
    <row r="23" spans="1:48" ht="12" customHeight="1">
      <c r="A23" s="42"/>
      <c r="B23" s="42"/>
      <c r="C23" s="42"/>
      <c r="D23" s="42"/>
      <c r="E23" s="42"/>
      <c r="F23" s="42"/>
      <c r="G23" s="42"/>
      <c r="H23" s="2" t="s">
        <v>40</v>
      </c>
      <c r="I23" s="14"/>
      <c r="J23" s="2"/>
      <c r="K23" s="2"/>
      <c r="L23" s="88">
        <v>-2243000</v>
      </c>
      <c r="M23" s="88">
        <f>-2243000/7.5345</f>
        <v>-297697.25927400624</v>
      </c>
      <c r="N23" s="89">
        <v>-4162534</v>
      </c>
      <c r="O23" s="89">
        <f>N23/7.5345</f>
        <v>-552463.20260136703</v>
      </c>
      <c r="P23" s="90">
        <v>-262060</v>
      </c>
      <c r="Q23" s="90">
        <v>630</v>
      </c>
      <c r="R23" s="88">
        <v>-27262</v>
      </c>
      <c r="S23" s="90">
        <v>-27262</v>
      </c>
      <c r="T23" s="90">
        <v>-27262</v>
      </c>
      <c r="U23" s="90">
        <v>-27262</v>
      </c>
      <c r="V23" s="89">
        <v>-156620</v>
      </c>
      <c r="W23" s="89">
        <v>-156620</v>
      </c>
      <c r="X23" s="89">
        <v>-156620</v>
      </c>
      <c r="Y23" s="89">
        <v>-156620</v>
      </c>
      <c r="Z23" s="89">
        <v>-156620</v>
      </c>
      <c r="AA23" s="89">
        <v>-156620</v>
      </c>
      <c r="AB23" s="89">
        <v>-156620</v>
      </c>
      <c r="AC23" s="89">
        <v>-156620</v>
      </c>
      <c r="AD23" s="89">
        <v>-156620</v>
      </c>
      <c r="AE23" s="89">
        <v>-156620</v>
      </c>
      <c r="AF23" s="89">
        <v>-156620</v>
      </c>
      <c r="AG23" s="89">
        <v>-156620</v>
      </c>
      <c r="AH23" s="89">
        <v>-156620</v>
      </c>
      <c r="AI23" s="89">
        <v>-156620</v>
      </c>
      <c r="AJ23" s="89">
        <v>-156620</v>
      </c>
      <c r="AK23" s="89">
        <v>-156620</v>
      </c>
      <c r="AL23" s="89">
        <v>-156620</v>
      </c>
      <c r="AM23" s="89">
        <v>-156620</v>
      </c>
      <c r="AN23" s="89">
        <v>-156620</v>
      </c>
      <c r="AO23" s="89">
        <v>-156620</v>
      </c>
      <c r="AP23" s="89">
        <v>-156620</v>
      </c>
      <c r="AQ23" s="89">
        <v>-156620</v>
      </c>
      <c r="AR23" s="194"/>
      <c r="AS23" s="194"/>
      <c r="AT23" s="194"/>
      <c r="AU23" s="194"/>
      <c r="AV23" s="194"/>
    </row>
    <row r="24" spans="1:48" ht="12" customHeight="1">
      <c r="A24" s="42"/>
      <c r="B24" s="42"/>
      <c r="C24" s="42"/>
      <c r="D24" s="42"/>
      <c r="E24" s="42"/>
      <c r="F24" s="42"/>
      <c r="G24" s="42"/>
      <c r="H24" s="43" t="s">
        <v>41</v>
      </c>
      <c r="I24" s="94"/>
      <c r="J24" s="93"/>
      <c r="K24" s="91"/>
      <c r="L24" s="88"/>
      <c r="M24" s="88"/>
      <c r="N24" s="89"/>
      <c r="O24" s="89"/>
      <c r="P24" s="90"/>
      <c r="Q24" s="90"/>
      <c r="R24" s="88"/>
      <c r="S24" s="90"/>
      <c r="T24" s="90"/>
      <c r="U24" s="90"/>
      <c r="V24" s="89"/>
      <c r="W24" s="89"/>
      <c r="X24" s="88"/>
      <c r="Y24" s="171"/>
      <c r="Z24" s="171"/>
      <c r="AA24" s="171"/>
      <c r="AB24" s="171"/>
      <c r="AC24" s="172"/>
      <c r="AD24" s="172"/>
      <c r="AE24" s="172"/>
      <c r="AF24" s="172"/>
      <c r="AG24" s="172"/>
      <c r="AH24" s="172"/>
      <c r="AI24" s="171"/>
      <c r="AJ24" s="171"/>
      <c r="AK24" s="171"/>
      <c r="AL24" s="171"/>
      <c r="AM24" s="171"/>
      <c r="AN24" s="90"/>
      <c r="AO24" s="193" t="e">
        <f t="shared" ca="1" si="6"/>
        <v>#NAME?</v>
      </c>
      <c r="AP24" s="193" t="e">
        <f t="shared" ca="1" si="7"/>
        <v>#NAME?</v>
      </c>
      <c r="AQ24" s="89"/>
      <c r="AR24" s="194"/>
      <c r="AS24" s="194"/>
      <c r="AT24" s="194"/>
      <c r="AU24" s="194"/>
      <c r="AV24" s="194"/>
    </row>
    <row r="25" spans="1:48" ht="12" customHeight="1">
      <c r="A25" s="42"/>
      <c r="B25" s="42"/>
      <c r="C25" s="42"/>
      <c r="D25" s="42"/>
      <c r="E25" s="42"/>
      <c r="F25" s="42"/>
      <c r="G25" s="42"/>
      <c r="H25" s="43" t="s">
        <v>42</v>
      </c>
      <c r="I25" s="94"/>
      <c r="J25" s="93"/>
      <c r="K25" s="91"/>
      <c r="L25" s="88"/>
      <c r="M25" s="88"/>
      <c r="N25" s="89"/>
      <c r="O25" s="89"/>
      <c r="P25" s="90"/>
      <c r="Q25" s="90"/>
      <c r="R25" s="88"/>
      <c r="S25" s="90"/>
      <c r="T25" s="90"/>
      <c r="U25" s="90"/>
      <c r="V25" s="89"/>
      <c r="W25" s="89"/>
      <c r="X25" s="88"/>
      <c r="Y25" s="171"/>
      <c r="Z25" s="171"/>
      <c r="AA25" s="171"/>
      <c r="AB25" s="171"/>
      <c r="AC25" s="172"/>
      <c r="AD25" s="172"/>
      <c r="AE25" s="172"/>
      <c r="AF25" s="172"/>
      <c r="AG25" s="172"/>
      <c r="AH25" s="172"/>
      <c r="AI25" s="171"/>
      <c r="AJ25" s="171"/>
      <c r="AK25" s="171"/>
      <c r="AL25" s="171"/>
      <c r="AM25" s="171"/>
      <c r="AN25" s="90"/>
      <c r="AO25" s="193" t="e">
        <f t="shared" ca="1" si="6"/>
        <v>#NAME?</v>
      </c>
      <c r="AP25" s="193" t="e">
        <f t="shared" ca="1" si="7"/>
        <v>#NAME?</v>
      </c>
      <c r="AQ25" s="89"/>
      <c r="AR25" s="194"/>
      <c r="AS25" s="194"/>
      <c r="AT25" s="194"/>
      <c r="AU25" s="194"/>
      <c r="AV25" s="194"/>
    </row>
    <row r="26" spans="1:48" ht="12" customHeight="1">
      <c r="A26" s="42"/>
      <c r="B26" s="42"/>
      <c r="C26" s="42"/>
      <c r="D26" s="42"/>
      <c r="E26" s="42"/>
      <c r="F26" s="42"/>
      <c r="G26" s="42"/>
      <c r="H26" s="43" t="s">
        <v>43</v>
      </c>
      <c r="I26" s="94"/>
      <c r="J26" s="93"/>
      <c r="K26" s="91"/>
      <c r="L26" s="88">
        <f>L17+L18+L19+L20+L21+L23+L24</f>
        <v>-326924</v>
      </c>
      <c r="M26" s="88">
        <f>M17+M18+M19+M20+M21+M23+M24</f>
        <v>-43390.143207910762</v>
      </c>
      <c r="N26" s="89">
        <f t="shared" ref="N26:Y26" si="19">N17+N18+N19+N20+N21+N22+N23+N24+N25</f>
        <v>4750</v>
      </c>
      <c r="O26" s="89">
        <f t="shared" si="19"/>
        <v>630.43333996890578</v>
      </c>
      <c r="P26" s="90">
        <f t="shared" si="19"/>
        <v>0.49107439070940018</v>
      </c>
      <c r="Q26" s="90">
        <f t="shared" si="19"/>
        <v>0</v>
      </c>
      <c r="R26" s="88">
        <f t="shared" si="19"/>
        <v>336457</v>
      </c>
      <c r="S26" s="90" t="e">
        <f t="shared" ca="1" si="19"/>
        <v>#NAME?</v>
      </c>
      <c r="T26" s="90">
        <f t="shared" si="19"/>
        <v>1520514.5100000002</v>
      </c>
      <c r="U26" s="90" t="e">
        <f t="shared" ca="1" si="19"/>
        <v>#NAME?</v>
      </c>
      <c r="V26" s="154"/>
      <c r="W26" s="154"/>
      <c r="X26" s="88">
        <f t="shared" si="19"/>
        <v>-156620</v>
      </c>
      <c r="Y26" s="171" t="e">
        <f t="shared" ca="1" si="19"/>
        <v>#NAME?</v>
      </c>
      <c r="Z26" s="171"/>
      <c r="AA26" s="171"/>
      <c r="AB26" s="171"/>
      <c r="AC26" s="172">
        <f>AC17+AC18+AC23+AC24</f>
        <v>-156620</v>
      </c>
      <c r="AD26" s="172">
        <f>AD17+AD18+AD23+AD24</f>
        <v>-156620</v>
      </c>
      <c r="AE26" s="172"/>
      <c r="AF26" s="172"/>
      <c r="AG26" s="172"/>
      <c r="AH26" s="172"/>
      <c r="AI26" s="171"/>
      <c r="AJ26" s="171">
        <v>-0.29999999981373499</v>
      </c>
      <c r="AK26" s="171">
        <f>W26/R26*100</f>
        <v>0</v>
      </c>
      <c r="AL26" s="171" t="e">
        <f>X26/W26*100</f>
        <v>#DIV/0!</v>
      </c>
      <c r="AM26" s="171"/>
      <c r="AN26" s="90"/>
      <c r="AO26" s="193" t="e">
        <f t="shared" ca="1" si="6"/>
        <v>#NAME?</v>
      </c>
      <c r="AP26" s="193" t="e">
        <f t="shared" ca="1" si="7"/>
        <v>#NAME?</v>
      </c>
      <c r="AQ26" s="89">
        <f>AQ17+AQ18+AQ19+AQ20+AQ21+AQ22+AQ23+AQ24+AQ25</f>
        <v>-113089.41000000015</v>
      </c>
      <c r="AR26" s="194"/>
      <c r="AS26" s="194"/>
      <c r="AT26" s="194"/>
      <c r="AU26" s="194"/>
      <c r="AV26" s="194"/>
    </row>
    <row r="27" spans="1:48" ht="12" customHeight="1">
      <c r="A27" s="42"/>
      <c r="B27" s="42"/>
      <c r="C27" s="42"/>
      <c r="D27" s="42"/>
      <c r="E27" s="42"/>
      <c r="F27" s="42"/>
      <c r="G27" s="42"/>
      <c r="H27" s="2" t="s">
        <v>44</v>
      </c>
      <c r="I27" s="14"/>
      <c r="J27" s="2"/>
      <c r="K27" s="2"/>
      <c r="L27" s="88">
        <v>-338762</v>
      </c>
      <c r="M27" s="88">
        <f>-338762/7.5345</f>
        <v>-44961.444024155549</v>
      </c>
      <c r="N27" s="89">
        <v>-281683</v>
      </c>
      <c r="O27" s="89">
        <f>N27/7.5345</f>
        <v>-37385.758842657109</v>
      </c>
      <c r="P27" s="90"/>
      <c r="Q27" s="90"/>
      <c r="R27" s="88">
        <v>-210602</v>
      </c>
      <c r="S27" s="90">
        <v>-210602</v>
      </c>
      <c r="T27" s="90">
        <v>-210602</v>
      </c>
      <c r="U27" s="90">
        <v>-210602</v>
      </c>
      <c r="V27" s="89"/>
      <c r="W27" s="89"/>
      <c r="X27" s="88"/>
      <c r="Y27" s="171"/>
      <c r="Z27" s="171"/>
      <c r="AA27" s="171"/>
      <c r="AB27" s="171"/>
      <c r="AC27" s="172"/>
      <c r="AD27" s="172"/>
      <c r="AE27" s="172"/>
      <c r="AF27" s="172"/>
      <c r="AG27" s="172"/>
      <c r="AH27" s="172"/>
      <c r="AI27" s="171"/>
      <c r="AJ27" s="171"/>
      <c r="AK27" s="171">
        <f>W27/R27*100</f>
        <v>0</v>
      </c>
      <c r="AL27" s="171"/>
      <c r="AM27" s="171"/>
      <c r="AN27" s="90"/>
      <c r="AO27" s="193" t="e">
        <f t="shared" ca="1" si="6"/>
        <v>#NAME?</v>
      </c>
      <c r="AP27" s="193" t="e">
        <f t="shared" ca="1" si="7"/>
        <v>#NAME?</v>
      </c>
      <c r="AQ27" s="89"/>
      <c r="AR27" s="194"/>
      <c r="AS27" s="194"/>
      <c r="AT27" s="194"/>
      <c r="AU27" s="194"/>
      <c r="AV27" s="194"/>
    </row>
    <row r="28" spans="1:48" ht="12" customHeight="1">
      <c r="A28" s="42"/>
      <c r="B28" s="42"/>
      <c r="C28" s="42"/>
      <c r="D28" s="42"/>
      <c r="E28" s="42"/>
      <c r="F28" s="42"/>
      <c r="G28" s="42"/>
      <c r="H28" s="2" t="s">
        <v>45</v>
      </c>
      <c r="I28" s="14"/>
      <c r="J28" s="2"/>
      <c r="K28" s="2"/>
      <c r="L28" s="88">
        <v>38562</v>
      </c>
      <c r="M28" s="88">
        <f>38562/7.5345</f>
        <v>5118.0569380848092</v>
      </c>
      <c r="N28" s="89">
        <v>42757</v>
      </c>
      <c r="O28" s="89">
        <f>N28/7.5345</f>
        <v>5674.829119384166</v>
      </c>
      <c r="P28" s="90"/>
      <c r="Q28" s="90"/>
      <c r="R28" s="88">
        <v>39360</v>
      </c>
      <c r="S28" s="90">
        <v>39360</v>
      </c>
      <c r="T28" s="90">
        <v>39360</v>
      </c>
      <c r="U28" s="90">
        <v>39360</v>
      </c>
      <c r="V28" s="89"/>
      <c r="W28" s="89"/>
      <c r="X28" s="88"/>
      <c r="Y28" s="171"/>
      <c r="Z28" s="171"/>
      <c r="AA28" s="171"/>
      <c r="AB28" s="171"/>
      <c r="AC28" s="172"/>
      <c r="AD28" s="172"/>
      <c r="AE28" s="172"/>
      <c r="AF28" s="172"/>
      <c r="AG28" s="172"/>
      <c r="AH28" s="172"/>
      <c r="AI28" s="171"/>
      <c r="AJ28" s="171"/>
      <c r="AK28" s="171">
        <f>W28/R28*100</f>
        <v>0</v>
      </c>
      <c r="AL28" s="171"/>
      <c r="AM28" s="171"/>
      <c r="AN28" s="90"/>
      <c r="AO28" s="193" t="e">
        <f t="shared" ca="1" si="6"/>
        <v>#NAME?</v>
      </c>
      <c r="AP28" s="193" t="e">
        <f t="shared" ca="1" si="7"/>
        <v>#NAME?</v>
      </c>
      <c r="AQ28" s="89"/>
      <c r="AR28" s="194"/>
      <c r="AS28" s="194"/>
      <c r="AT28" s="194"/>
      <c r="AU28" s="194"/>
      <c r="AV28" s="194"/>
    </row>
    <row r="29" spans="1:48" ht="12" customHeight="1">
      <c r="A29" s="44"/>
      <c r="B29" s="44"/>
      <c r="C29" s="44"/>
      <c r="D29" s="44"/>
      <c r="E29" s="44"/>
      <c r="F29" s="44"/>
      <c r="G29" s="44"/>
      <c r="H29" s="45" t="s">
        <v>46</v>
      </c>
      <c r="I29" s="95"/>
      <c r="J29" s="45"/>
      <c r="K29" s="45"/>
      <c r="L29" s="96">
        <v>-13062</v>
      </c>
      <c r="M29" s="96">
        <f>-13062/7.5345</f>
        <v>-1733.6253235118454</v>
      </c>
      <c r="N29" s="97">
        <v>-6423</v>
      </c>
      <c r="O29" s="97">
        <f>N29/7.5345</f>
        <v>-852.4785984471431</v>
      </c>
      <c r="P29" s="98"/>
      <c r="Q29" s="98"/>
      <c r="R29" s="96">
        <v>5590</v>
      </c>
      <c r="S29" s="98">
        <v>5590</v>
      </c>
      <c r="T29" s="98">
        <v>5590</v>
      </c>
      <c r="U29" s="98">
        <v>5590</v>
      </c>
      <c r="V29" s="97"/>
      <c r="W29" s="97"/>
      <c r="X29" s="96"/>
      <c r="Y29" s="173"/>
      <c r="Z29" s="173"/>
      <c r="AA29" s="173"/>
      <c r="AB29" s="173"/>
      <c r="AC29" s="174"/>
      <c r="AD29" s="174"/>
      <c r="AE29" s="174"/>
      <c r="AF29" s="174"/>
      <c r="AG29" s="174"/>
      <c r="AH29" s="174"/>
      <c r="AI29" s="173"/>
      <c r="AJ29" s="173"/>
      <c r="AK29" s="173">
        <f>W29/R29*100</f>
        <v>0</v>
      </c>
      <c r="AL29" s="173"/>
      <c r="AM29" s="173"/>
      <c r="AN29" s="98"/>
      <c r="AO29" s="193" t="e">
        <f t="shared" ca="1" si="6"/>
        <v>#NAME?</v>
      </c>
      <c r="AP29" s="193" t="e">
        <f t="shared" ca="1" si="7"/>
        <v>#NAME?</v>
      </c>
      <c r="AQ29" s="89"/>
      <c r="AR29" s="195"/>
      <c r="AS29" s="195"/>
      <c r="AT29" s="195"/>
      <c r="AU29" s="195"/>
      <c r="AV29" s="195"/>
    </row>
    <row r="30" spans="1:48" ht="12" customHeight="1">
      <c r="A30" s="42"/>
      <c r="B30" s="42"/>
      <c r="C30" s="42"/>
      <c r="D30" s="42"/>
      <c r="E30" s="42"/>
      <c r="F30" s="42"/>
      <c r="G30" s="42"/>
      <c r="H30" s="2" t="s">
        <v>47</v>
      </c>
      <c r="I30" s="14"/>
      <c r="J30" s="2"/>
      <c r="K30" s="2"/>
      <c r="L30" s="88">
        <v>-13662</v>
      </c>
      <c r="M30" s="88">
        <f>-13662/7.5345</f>
        <v>-1813.2590085606209</v>
      </c>
      <c r="N30" s="89">
        <v>250099</v>
      </c>
      <c r="O30" s="89">
        <f>N30/7.5345</f>
        <v>33193.841661689563</v>
      </c>
      <c r="P30" s="90"/>
      <c r="Q30" s="90"/>
      <c r="R30" s="88">
        <v>9035</v>
      </c>
      <c r="S30" s="90">
        <v>9035</v>
      </c>
      <c r="T30" s="90">
        <v>9035</v>
      </c>
      <c r="U30" s="90">
        <v>9035</v>
      </c>
      <c r="V30" s="89"/>
      <c r="W30" s="89"/>
      <c r="X30" s="88"/>
      <c r="Y30" s="171"/>
      <c r="Z30" s="171"/>
      <c r="AA30" s="171"/>
      <c r="AB30" s="171"/>
      <c r="AC30" s="172"/>
      <c r="AD30" s="172"/>
      <c r="AE30" s="172"/>
      <c r="AF30" s="172"/>
      <c r="AG30" s="172"/>
      <c r="AH30" s="172"/>
      <c r="AI30" s="171"/>
      <c r="AJ30" s="171"/>
      <c r="AK30" s="171">
        <f>W30/R30*100</f>
        <v>0</v>
      </c>
      <c r="AL30" s="171"/>
      <c r="AM30" s="171"/>
      <c r="AN30" s="90"/>
      <c r="AO30" s="196" t="e">
        <f t="shared" ca="1" si="6"/>
        <v>#NAME?</v>
      </c>
      <c r="AP30" s="196" t="e">
        <f t="shared" ca="1" si="7"/>
        <v>#NAME?</v>
      </c>
      <c r="AQ30" s="89"/>
      <c r="AR30" s="194"/>
      <c r="AS30" s="194"/>
      <c r="AT30" s="194"/>
      <c r="AU30" s="194"/>
      <c r="AV30" s="194"/>
    </row>
    <row r="31" spans="1:48" ht="12" customHeight="1">
      <c r="A31" s="34"/>
      <c r="B31" s="34"/>
      <c r="C31" s="34"/>
      <c r="D31" s="34"/>
      <c r="E31" s="34"/>
      <c r="F31" s="34"/>
      <c r="G31" s="34"/>
      <c r="H31" s="35"/>
      <c r="I31" s="72"/>
      <c r="J31" s="35"/>
      <c r="K31" s="99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75"/>
      <c r="Z31" s="175"/>
      <c r="AA31" s="175"/>
      <c r="AB31" s="175"/>
      <c r="AC31" s="176"/>
      <c r="AD31" s="176"/>
      <c r="AE31" s="176"/>
      <c r="AF31" s="176"/>
      <c r="AG31" s="176"/>
      <c r="AH31" s="176"/>
      <c r="AI31" s="175"/>
      <c r="AJ31" s="175"/>
      <c r="AK31" s="175"/>
      <c r="AL31" s="175"/>
      <c r="AM31" s="175"/>
      <c r="AN31" s="100"/>
      <c r="AP31" t="e">
        <f t="shared" ca="1" si="7"/>
        <v>#NAME?</v>
      </c>
      <c r="AQ31" s="100"/>
      <c r="AR31" s="33"/>
      <c r="AS31" s="33"/>
      <c r="AT31" s="33"/>
      <c r="AU31" s="33"/>
      <c r="AV31" s="33"/>
    </row>
    <row r="32" spans="1:48" ht="12" customHeight="1">
      <c r="A32" s="34"/>
      <c r="B32" s="34"/>
      <c r="C32" s="34"/>
      <c r="D32" s="34"/>
      <c r="E32" s="34"/>
      <c r="F32" s="34"/>
      <c r="G32" s="34"/>
      <c r="H32" s="35"/>
      <c r="I32" s="72"/>
      <c r="J32" s="35"/>
      <c r="K32" s="99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75"/>
      <c r="Z32" s="175"/>
      <c r="AA32" s="175"/>
      <c r="AB32" s="175"/>
      <c r="AC32" s="176"/>
      <c r="AD32" s="176"/>
      <c r="AE32" s="176"/>
      <c r="AF32" s="176"/>
      <c r="AG32" s="176"/>
      <c r="AH32" s="176"/>
      <c r="AI32" s="175"/>
      <c r="AJ32" s="175"/>
      <c r="AK32" s="175"/>
      <c r="AL32" s="175"/>
      <c r="AM32" s="175"/>
      <c r="AN32" s="100"/>
      <c r="AP32" t="e">
        <f t="shared" ca="1" si="7"/>
        <v>#NAME?</v>
      </c>
      <c r="AQ32" s="100"/>
      <c r="AR32" s="33"/>
      <c r="AS32" s="33"/>
      <c r="AT32" s="33"/>
      <c r="AU32" s="33"/>
      <c r="AV32" s="33"/>
    </row>
    <row r="33" spans="1:48" ht="12" customHeight="1">
      <c r="A33" s="34"/>
      <c r="B33" s="34"/>
      <c r="C33" s="34"/>
      <c r="D33" s="34"/>
      <c r="E33" s="34"/>
      <c r="F33" s="34"/>
      <c r="G33" s="34"/>
      <c r="H33" s="35"/>
      <c r="I33" s="72"/>
      <c r="J33" s="35"/>
      <c r="K33" s="99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75"/>
      <c r="Z33" s="175"/>
      <c r="AA33" s="175"/>
      <c r="AB33" s="175"/>
      <c r="AC33" s="176"/>
      <c r="AD33" s="176"/>
      <c r="AE33" s="176"/>
      <c r="AF33" s="176"/>
      <c r="AG33" s="176"/>
      <c r="AH33" s="176"/>
      <c r="AI33" s="175"/>
      <c r="AJ33" s="175"/>
      <c r="AK33" s="175"/>
      <c r="AL33" s="175"/>
      <c r="AM33" s="175"/>
      <c r="AN33" s="100"/>
      <c r="AP33" t="e">
        <f t="shared" ca="1" si="7"/>
        <v>#NAME?</v>
      </c>
      <c r="AQ33" s="100"/>
      <c r="AR33" s="33"/>
      <c r="AS33" s="33"/>
      <c r="AT33" s="33"/>
      <c r="AU33" s="33"/>
      <c r="AV33" s="33"/>
    </row>
    <row r="34" spans="1:48" ht="12" customHeight="1">
      <c r="A34" s="34"/>
      <c r="B34" s="34"/>
      <c r="C34" s="34"/>
      <c r="D34" s="34"/>
      <c r="E34" s="34"/>
      <c r="F34" s="34"/>
      <c r="G34" s="34"/>
      <c r="H34" s="35"/>
      <c r="I34" s="72"/>
      <c r="J34" s="35"/>
      <c r="K34" s="99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75"/>
      <c r="Z34" s="175"/>
      <c r="AA34" s="175"/>
      <c r="AB34" s="175"/>
      <c r="AC34" s="176"/>
      <c r="AD34" s="176"/>
      <c r="AE34" s="176"/>
      <c r="AF34" s="176"/>
      <c r="AG34" s="176"/>
      <c r="AH34" s="176"/>
      <c r="AI34" s="175"/>
      <c r="AJ34" s="175"/>
      <c r="AK34" s="175"/>
      <c r="AL34" s="175"/>
      <c r="AM34" s="175"/>
      <c r="AN34" s="100"/>
      <c r="AP34" t="e">
        <f t="shared" ca="1" si="7"/>
        <v>#NAME?</v>
      </c>
      <c r="AQ34" s="100"/>
      <c r="AR34" s="33"/>
      <c r="AS34" s="33"/>
      <c r="AT34" s="33"/>
      <c r="AU34" s="33"/>
      <c r="AV34" s="33"/>
    </row>
    <row r="35" spans="1:48" ht="12" customHeight="1">
      <c r="A35" s="34"/>
      <c r="B35" s="34"/>
      <c r="C35" s="34"/>
      <c r="D35" s="34"/>
      <c r="E35" s="34"/>
      <c r="F35" s="34"/>
      <c r="G35" s="34"/>
      <c r="H35" s="35"/>
      <c r="I35" s="72"/>
      <c r="J35" s="35"/>
      <c r="K35" s="99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75"/>
      <c r="Z35" s="175"/>
      <c r="AA35" s="175"/>
      <c r="AB35" s="175"/>
      <c r="AC35" s="176"/>
      <c r="AD35" s="176"/>
      <c r="AE35" s="176"/>
      <c r="AF35" s="176"/>
      <c r="AG35" s="176"/>
      <c r="AH35" s="176"/>
      <c r="AI35" s="175"/>
      <c r="AJ35" s="175"/>
      <c r="AK35" s="175"/>
      <c r="AL35" s="175"/>
      <c r="AM35" s="175"/>
      <c r="AN35" s="100"/>
      <c r="AP35" t="e">
        <f t="shared" ca="1" si="7"/>
        <v>#NAME?</v>
      </c>
      <c r="AQ35" s="100"/>
      <c r="AR35" s="33"/>
      <c r="AS35" s="33"/>
      <c r="AT35" s="33"/>
      <c r="AU35" s="33"/>
      <c r="AV35" s="33"/>
    </row>
    <row r="36" spans="1:48" ht="12" customHeight="1">
      <c r="A36" s="34"/>
      <c r="B36" s="34"/>
      <c r="C36" s="34"/>
      <c r="D36" s="34"/>
      <c r="E36" s="34"/>
      <c r="F36" s="34"/>
      <c r="G36" s="34"/>
      <c r="H36" s="35" t="s">
        <v>48</v>
      </c>
      <c r="I36" s="72"/>
      <c r="J36" s="35"/>
      <c r="K36" s="99"/>
      <c r="L36" s="101"/>
      <c r="M36" s="101"/>
      <c r="N36" s="101"/>
      <c r="O36" s="101"/>
      <c r="P36" s="101"/>
      <c r="Q36" s="101"/>
      <c r="R36" s="103"/>
      <c r="S36" s="103"/>
      <c r="T36" s="103"/>
      <c r="U36" s="103"/>
      <c r="V36" s="103"/>
      <c r="W36" s="103"/>
      <c r="X36" s="143"/>
      <c r="Y36" s="31"/>
      <c r="Z36" s="31"/>
      <c r="AA36" s="31"/>
      <c r="AB36" s="31"/>
      <c r="AC36" s="170"/>
      <c r="AD36" s="170"/>
      <c r="AE36" s="170"/>
      <c r="AF36" s="170"/>
      <c r="AG36" s="170"/>
      <c r="AH36" s="170"/>
      <c r="AI36" s="31"/>
      <c r="AJ36" s="31"/>
      <c r="AK36" s="175"/>
      <c r="AL36" s="175"/>
      <c r="AM36" s="175"/>
      <c r="AN36" s="103"/>
      <c r="AP36" t="e">
        <f t="shared" ca="1" si="7"/>
        <v>#NAME?</v>
      </c>
      <c r="AQ36" s="103"/>
      <c r="AR36" s="33"/>
      <c r="AS36" s="33"/>
      <c r="AT36" s="33"/>
      <c r="AU36" s="33"/>
      <c r="AV36" s="33"/>
    </row>
    <row r="37" spans="1:48" ht="12" customHeight="1">
      <c r="A37" s="27"/>
      <c r="B37" s="27"/>
      <c r="C37" s="27"/>
      <c r="D37" s="27"/>
      <c r="E37" s="27"/>
      <c r="F37" s="27"/>
      <c r="G37" s="27"/>
      <c r="H37" s="28"/>
      <c r="I37" s="29"/>
      <c r="J37" s="28"/>
      <c r="K37" s="102"/>
      <c r="L37" s="103"/>
      <c r="M37" s="103"/>
      <c r="N37" s="103"/>
      <c r="O37" s="103"/>
      <c r="P37" s="103"/>
      <c r="Q37" s="103"/>
      <c r="R37" s="155"/>
      <c r="S37" s="155"/>
      <c r="T37" s="155"/>
      <c r="U37" s="155"/>
      <c r="V37" s="155"/>
      <c r="W37" s="155"/>
      <c r="X37" s="156"/>
      <c r="Y37" s="177"/>
      <c r="Z37" s="177"/>
      <c r="AA37" s="177"/>
      <c r="AB37" s="177"/>
      <c r="AC37" s="32"/>
      <c r="AD37" s="32"/>
      <c r="AE37" s="32"/>
      <c r="AF37" s="32"/>
      <c r="AG37" s="32"/>
      <c r="AH37" s="32"/>
      <c r="AI37" s="177"/>
      <c r="AJ37" s="177"/>
      <c r="AK37" s="175"/>
      <c r="AL37" s="175"/>
      <c r="AM37" s="175"/>
      <c r="AN37" s="186"/>
      <c r="AP37" t="e">
        <f t="shared" ca="1" si="7"/>
        <v>#NAME?</v>
      </c>
      <c r="AQ37" s="155"/>
      <c r="AR37" s="33"/>
      <c r="AS37" s="33"/>
      <c r="AT37" s="33"/>
      <c r="AU37" s="33"/>
      <c r="AV37" s="33"/>
    </row>
    <row r="38" spans="1:48" ht="12" customHeight="1">
      <c r="A38" s="36"/>
      <c r="B38" s="37"/>
      <c r="C38" s="37"/>
      <c r="D38" s="37"/>
      <c r="E38" s="37"/>
      <c r="F38" s="37"/>
      <c r="G38" s="37"/>
      <c r="H38" s="38"/>
      <c r="I38" s="73"/>
      <c r="J38" s="74"/>
      <c r="K38" s="75"/>
      <c r="L38" s="76" t="s">
        <v>4</v>
      </c>
      <c r="M38" s="76" t="s">
        <v>4</v>
      </c>
      <c r="N38" s="77" t="s">
        <v>5</v>
      </c>
      <c r="O38" s="77" t="s">
        <v>5</v>
      </c>
      <c r="P38" s="78" t="s">
        <v>6</v>
      </c>
      <c r="Q38" s="78" t="s">
        <v>7</v>
      </c>
      <c r="R38" s="145"/>
      <c r="S38" s="146" t="s">
        <v>8</v>
      </c>
      <c r="T38" s="147"/>
      <c r="U38" s="148"/>
      <c r="V38" s="149" t="s">
        <v>9</v>
      </c>
      <c r="W38" s="149" t="s">
        <v>10</v>
      </c>
      <c r="X38" s="147" t="s">
        <v>11</v>
      </c>
      <c r="Y38" s="147" t="s">
        <v>12</v>
      </c>
      <c r="Z38" s="147" t="s">
        <v>12</v>
      </c>
      <c r="AA38" s="147" t="s">
        <v>12</v>
      </c>
      <c r="AB38" s="147" t="s">
        <v>12</v>
      </c>
      <c r="AC38" s="147" t="s">
        <v>12</v>
      </c>
      <c r="AD38" s="147" t="s">
        <v>12</v>
      </c>
      <c r="AE38" s="147" t="s">
        <v>12</v>
      </c>
      <c r="AF38" s="147" t="s">
        <v>12</v>
      </c>
      <c r="AG38" s="147" t="s">
        <v>12</v>
      </c>
      <c r="AH38" s="147" t="s">
        <v>12</v>
      </c>
      <c r="AI38" s="147" t="s">
        <v>12</v>
      </c>
      <c r="AJ38" s="147" t="s">
        <v>12</v>
      </c>
      <c r="AK38" s="147" t="s">
        <v>49</v>
      </c>
      <c r="AL38" s="147" t="s">
        <v>50</v>
      </c>
      <c r="AM38" s="147" t="s">
        <v>51</v>
      </c>
      <c r="AN38" s="147"/>
      <c r="AO38" s="147"/>
      <c r="AP38" s="147" t="e">
        <f t="shared" ca="1" si="7"/>
        <v>#NAME?</v>
      </c>
      <c r="AQ38" s="149" t="s">
        <v>13</v>
      </c>
      <c r="AR38" s="655" t="s">
        <v>14</v>
      </c>
      <c r="AS38" s="655" t="s">
        <v>15</v>
      </c>
      <c r="AT38" s="655" t="s">
        <v>16</v>
      </c>
      <c r="AU38" s="655" t="s">
        <v>17</v>
      </c>
      <c r="AV38" s="657" t="s">
        <v>18</v>
      </c>
    </row>
    <row r="39" spans="1:48" ht="12" customHeight="1">
      <c r="A39" s="46"/>
      <c r="B39" s="34"/>
      <c r="C39" s="34"/>
      <c r="D39" s="34"/>
      <c r="E39" s="34"/>
      <c r="F39" s="34"/>
      <c r="G39" s="34"/>
      <c r="H39" s="41"/>
      <c r="I39" s="72"/>
      <c r="J39" s="35"/>
      <c r="K39" s="79"/>
      <c r="L39" s="104"/>
      <c r="M39" s="104"/>
      <c r="N39" s="105"/>
      <c r="O39" s="105"/>
      <c r="P39" s="106"/>
      <c r="Q39" s="106"/>
      <c r="R39" s="150" t="s">
        <v>21</v>
      </c>
      <c r="S39" s="147"/>
      <c r="T39" s="147"/>
      <c r="U39" s="148"/>
      <c r="V39" s="151" t="s">
        <v>24</v>
      </c>
      <c r="W39" s="151" t="s">
        <v>23</v>
      </c>
      <c r="X39" s="147"/>
      <c r="Y39" s="147"/>
      <c r="Z39" s="147"/>
      <c r="AA39" s="147"/>
      <c r="AB39" s="147"/>
      <c r="AC39" s="147"/>
      <c r="AD39" s="147"/>
      <c r="AE39" s="147"/>
      <c r="AF39" s="147"/>
      <c r="AG39" s="147"/>
      <c r="AH39" s="147"/>
      <c r="AI39" s="147"/>
      <c r="AJ39" s="147"/>
      <c r="AK39" s="147"/>
      <c r="AL39" s="147"/>
      <c r="AM39" s="147"/>
      <c r="AN39" s="147"/>
      <c r="AO39" s="147"/>
      <c r="AP39" s="147"/>
      <c r="AQ39" s="151" t="s">
        <v>24</v>
      </c>
      <c r="AR39" s="656"/>
      <c r="AS39" s="656"/>
      <c r="AT39" s="656"/>
      <c r="AU39" s="656"/>
      <c r="AV39" s="658"/>
    </row>
    <row r="40" spans="1:48" ht="12" customHeight="1">
      <c r="A40" s="39"/>
      <c r="B40" s="40"/>
      <c r="C40" s="40"/>
      <c r="D40" s="40"/>
      <c r="E40" s="40"/>
      <c r="F40" s="40"/>
      <c r="G40" s="40"/>
      <c r="H40" s="41"/>
      <c r="I40" s="72"/>
      <c r="J40" s="107"/>
      <c r="K40" s="108"/>
      <c r="L40" s="80" t="s">
        <v>19</v>
      </c>
      <c r="M40" s="80" t="s">
        <v>20</v>
      </c>
      <c r="N40" s="81" t="s">
        <v>19</v>
      </c>
      <c r="O40" s="81" t="s">
        <v>20</v>
      </c>
      <c r="P40" s="82" t="s">
        <v>20</v>
      </c>
      <c r="Q40" s="82" t="s">
        <v>20</v>
      </c>
      <c r="R40" s="152"/>
      <c r="S40" s="147" t="s">
        <v>22</v>
      </c>
      <c r="T40" s="147"/>
      <c r="U40" s="148"/>
      <c r="V40" s="153" t="s">
        <v>25</v>
      </c>
      <c r="W40" s="153" t="s">
        <v>26</v>
      </c>
      <c r="X40" s="147"/>
      <c r="Y40" s="147"/>
      <c r="Z40" s="147"/>
      <c r="AA40" s="147"/>
      <c r="AB40" s="147"/>
      <c r="AC40" s="147"/>
      <c r="AD40" s="147"/>
      <c r="AE40" s="147"/>
      <c r="AF40" s="147"/>
      <c r="AG40" s="147"/>
      <c r="AH40" s="147"/>
      <c r="AI40" s="147"/>
      <c r="AJ40" s="147"/>
      <c r="AK40" s="147"/>
      <c r="AL40" s="147"/>
      <c r="AM40" s="147"/>
      <c r="AN40" s="147"/>
      <c r="AO40" s="147"/>
      <c r="AP40" s="147" t="e">
        <f ca="1">__xlfn.ISFORMULA(X40)</f>
        <v>#NAME?</v>
      </c>
      <c r="AQ40" s="197"/>
      <c r="AR40" s="198"/>
      <c r="AS40" s="198"/>
      <c r="AT40" s="198"/>
      <c r="AU40" s="198"/>
      <c r="AV40" s="198"/>
    </row>
    <row r="41" spans="1:48" ht="0.2" customHeight="1">
      <c r="A41" s="40"/>
      <c r="B41" s="40"/>
      <c r="C41" s="40"/>
      <c r="D41" s="40"/>
      <c r="E41" s="40"/>
      <c r="F41" s="40"/>
      <c r="G41" s="40"/>
      <c r="H41" s="41"/>
      <c r="I41" s="72"/>
      <c r="J41" s="107"/>
      <c r="K41" s="83"/>
      <c r="L41" s="80"/>
      <c r="M41" s="80"/>
      <c r="N41" s="81"/>
      <c r="O41" s="81"/>
      <c r="P41" s="82"/>
      <c r="Q41" s="82"/>
      <c r="R41" s="147"/>
      <c r="S41" s="147"/>
      <c r="T41" s="147"/>
      <c r="U41" s="147"/>
      <c r="V41" s="147"/>
      <c r="W41" s="147"/>
      <c r="X41" s="147"/>
      <c r="Y41" s="147"/>
      <c r="Z41" s="147"/>
      <c r="AA41" s="147"/>
      <c r="AB41" s="147"/>
      <c r="AC41" s="147"/>
      <c r="AD41" s="147"/>
      <c r="AE41" s="147"/>
      <c r="AF41" s="147"/>
      <c r="AG41" s="147"/>
      <c r="AH41" s="147"/>
      <c r="AI41" s="147"/>
      <c r="AJ41" s="147"/>
      <c r="AK41" s="147"/>
      <c r="AL41" s="147"/>
      <c r="AM41" s="147"/>
      <c r="AN41" s="147"/>
      <c r="AO41" s="147"/>
      <c r="AP41" s="147"/>
      <c r="AQ41" s="147"/>
      <c r="AR41" s="33"/>
      <c r="AS41" s="33"/>
      <c r="AT41" s="33"/>
      <c r="AU41" s="33"/>
      <c r="AV41" s="33"/>
    </row>
    <row r="42" spans="1:48" ht="0.2" customHeight="1">
      <c r="A42" s="40"/>
      <c r="B42" s="40"/>
      <c r="C42" s="40"/>
      <c r="D42" s="40"/>
      <c r="E42" s="40"/>
      <c r="F42" s="40"/>
      <c r="G42" s="40"/>
      <c r="H42" s="41"/>
      <c r="I42" s="72"/>
      <c r="J42" s="107"/>
      <c r="K42" s="83"/>
      <c r="L42" s="80"/>
      <c r="M42" s="80"/>
      <c r="N42" s="81"/>
      <c r="O42" s="81"/>
      <c r="P42" s="82"/>
      <c r="Q42" s="82"/>
      <c r="R42" s="145"/>
      <c r="S42" s="146"/>
      <c r="T42" s="147"/>
      <c r="U42" s="148"/>
      <c r="V42" s="149"/>
      <c r="W42" s="149"/>
      <c r="X42" s="147"/>
      <c r="Y42" s="147"/>
      <c r="Z42" s="147"/>
      <c r="AA42" s="147"/>
      <c r="AB42" s="147"/>
      <c r="AC42" s="147"/>
      <c r="AD42" s="147"/>
      <c r="AE42" s="147"/>
      <c r="AF42" s="147"/>
      <c r="AG42" s="147"/>
      <c r="AH42" s="147"/>
      <c r="AI42" s="147"/>
      <c r="AJ42" s="147"/>
      <c r="AK42" s="147"/>
      <c r="AL42" s="147"/>
      <c r="AM42" s="147"/>
      <c r="AN42" s="147"/>
      <c r="AO42" s="147"/>
      <c r="AP42" s="147"/>
      <c r="AQ42" s="149"/>
      <c r="AR42" s="33"/>
      <c r="AS42" s="33"/>
      <c r="AT42" s="33"/>
      <c r="AU42" s="33"/>
      <c r="AV42" s="33"/>
    </row>
    <row r="43" spans="1:48" ht="0.2" customHeight="1">
      <c r="A43" s="47" t="s">
        <v>52</v>
      </c>
      <c r="B43" s="42" t="s">
        <v>53</v>
      </c>
      <c r="C43" s="42" t="s">
        <v>54</v>
      </c>
      <c r="D43" s="42" t="s">
        <v>55</v>
      </c>
      <c r="E43" s="42" t="s">
        <v>56</v>
      </c>
      <c r="F43" s="42" t="s">
        <v>57</v>
      </c>
      <c r="G43" s="42" t="s">
        <v>58</v>
      </c>
      <c r="H43" s="38" t="s">
        <v>59</v>
      </c>
      <c r="I43" s="73" t="s">
        <v>60</v>
      </c>
      <c r="J43" s="91" t="s">
        <v>61</v>
      </c>
      <c r="K43" s="84" t="s">
        <v>62</v>
      </c>
      <c r="L43" s="85" t="s">
        <v>63</v>
      </c>
      <c r="M43" s="85" t="s">
        <v>64</v>
      </c>
      <c r="N43" s="86" t="s">
        <v>65</v>
      </c>
      <c r="O43" s="86" t="s">
        <v>66</v>
      </c>
      <c r="P43" s="87" t="s">
        <v>67</v>
      </c>
      <c r="Q43" s="87" t="s">
        <v>68</v>
      </c>
      <c r="R43" s="150" t="s">
        <v>69</v>
      </c>
      <c r="S43" s="147" t="s">
        <v>70</v>
      </c>
      <c r="T43" s="147" t="s">
        <v>71</v>
      </c>
      <c r="U43" s="148" t="s">
        <v>72</v>
      </c>
      <c r="V43" s="151" t="s">
        <v>73</v>
      </c>
      <c r="W43" s="151" t="s">
        <v>74</v>
      </c>
      <c r="X43" s="147" t="s">
        <v>75</v>
      </c>
      <c r="Y43" s="147" t="s">
        <v>76</v>
      </c>
      <c r="Z43" s="147" t="s">
        <v>77</v>
      </c>
      <c r="AA43" s="147" t="s">
        <v>78</v>
      </c>
      <c r="AB43" s="147" t="s">
        <v>79</v>
      </c>
      <c r="AC43" s="147" t="s">
        <v>80</v>
      </c>
      <c r="AD43" s="147" t="s">
        <v>81</v>
      </c>
      <c r="AE43" s="147" t="s">
        <v>82</v>
      </c>
      <c r="AF43" s="147" t="s">
        <v>83</v>
      </c>
      <c r="AG43" s="147" t="s">
        <v>84</v>
      </c>
      <c r="AH43" s="147" t="s">
        <v>85</v>
      </c>
      <c r="AI43" s="147" t="s">
        <v>86</v>
      </c>
      <c r="AJ43" s="147" t="s">
        <v>87</v>
      </c>
      <c r="AK43" s="147" t="s">
        <v>88</v>
      </c>
      <c r="AL43" s="147" t="s">
        <v>89</v>
      </c>
      <c r="AM43" s="147" t="s">
        <v>90</v>
      </c>
      <c r="AN43" s="147" t="s">
        <v>91</v>
      </c>
      <c r="AO43" s="147" t="s">
        <v>92</v>
      </c>
      <c r="AP43" s="147" t="e">
        <f ca="1">__xlfn.ISFORMULA(X43)</f>
        <v>#NAME?</v>
      </c>
      <c r="AQ43" s="151"/>
      <c r="AR43" s="33"/>
      <c r="AS43" s="33"/>
      <c r="AT43" s="33"/>
      <c r="AU43" s="33"/>
      <c r="AV43" s="33"/>
    </row>
    <row r="44" spans="1:48" ht="12" customHeight="1">
      <c r="A44" s="47"/>
      <c r="B44" s="42"/>
      <c r="C44" s="42"/>
      <c r="D44" s="42"/>
      <c r="E44" s="42"/>
      <c r="F44" s="42"/>
      <c r="G44" s="42"/>
      <c r="H44" s="38"/>
      <c r="I44" s="73"/>
      <c r="J44" s="91"/>
      <c r="K44" s="84"/>
      <c r="L44" s="85">
        <v>1</v>
      </c>
      <c r="M44" s="85">
        <v>2</v>
      </c>
      <c r="N44" s="86">
        <v>3</v>
      </c>
      <c r="O44" s="86">
        <v>4</v>
      </c>
      <c r="P44" s="87">
        <v>5</v>
      </c>
      <c r="Q44" s="87">
        <v>6</v>
      </c>
      <c r="R44" s="153">
        <v>1</v>
      </c>
      <c r="S44" s="147">
        <v>5</v>
      </c>
      <c r="T44" s="147"/>
      <c r="U44" s="148"/>
      <c r="V44" s="153">
        <v>2</v>
      </c>
      <c r="W44" s="153">
        <v>3</v>
      </c>
      <c r="X44" s="147">
        <v>4</v>
      </c>
      <c r="Y44" s="147">
        <v>5</v>
      </c>
      <c r="Z44" s="147"/>
      <c r="AA44" s="147"/>
      <c r="AB44" s="147"/>
      <c r="AC44" s="147">
        <v>7</v>
      </c>
      <c r="AD44" s="147">
        <v>8</v>
      </c>
      <c r="AE44" s="147">
        <v>9</v>
      </c>
      <c r="AF44" s="147">
        <v>10</v>
      </c>
      <c r="AG44" s="147">
        <v>11</v>
      </c>
      <c r="AH44" s="147">
        <v>12</v>
      </c>
      <c r="AI44" s="147"/>
      <c r="AJ44" s="147">
        <v>5</v>
      </c>
      <c r="AK44" s="147">
        <v>7</v>
      </c>
      <c r="AL44" s="147">
        <v>8</v>
      </c>
      <c r="AM44" s="147">
        <v>9</v>
      </c>
      <c r="AN44" s="147"/>
      <c r="AO44" s="147" t="e">
        <f ca="1">__xlfn.ISFORMULA(#REF!)</f>
        <v>#NAME?</v>
      </c>
      <c r="AP44" s="147" t="e">
        <f ca="1">__xlfn.ISFORMULA(X44)</f>
        <v>#NAME?</v>
      </c>
      <c r="AQ44" s="189">
        <v>4</v>
      </c>
      <c r="AR44" s="645"/>
      <c r="AS44" s="646"/>
      <c r="AT44" s="646"/>
      <c r="AU44" s="646"/>
      <c r="AV44" s="647"/>
    </row>
    <row r="45" spans="1:48" ht="12" customHeight="1">
      <c r="A45" s="48"/>
      <c r="B45" s="49"/>
      <c r="C45" s="49"/>
      <c r="D45" s="49"/>
      <c r="E45" s="49"/>
      <c r="F45" s="49"/>
      <c r="G45" s="49"/>
      <c r="H45" s="50"/>
      <c r="I45" s="109"/>
      <c r="J45" s="110"/>
      <c r="K45" s="111"/>
      <c r="L45" s="112"/>
      <c r="M45" s="112"/>
      <c r="N45" s="113"/>
      <c r="O45" s="113"/>
      <c r="P45" s="114"/>
      <c r="Q45" s="114"/>
      <c r="R45" s="88"/>
      <c r="S45" s="90"/>
      <c r="T45" s="90"/>
      <c r="U45" s="90" t="e">
        <f ca="1">__xlfn.ISFORMULA(S45)</f>
        <v>#NAME?</v>
      </c>
      <c r="V45" s="89"/>
      <c r="W45" s="89"/>
      <c r="X45" s="88"/>
      <c r="Y45" s="171"/>
      <c r="Z45" s="171"/>
      <c r="AA45" s="171"/>
      <c r="AB45" s="171"/>
      <c r="AC45" s="172"/>
      <c r="AD45" s="172"/>
      <c r="AE45" s="178"/>
      <c r="AF45" s="178"/>
      <c r="AG45" s="178"/>
      <c r="AH45" s="178"/>
      <c r="AI45" s="171"/>
      <c r="AJ45" s="171"/>
      <c r="AK45" s="171"/>
      <c r="AL45" s="171"/>
      <c r="AM45" s="171"/>
      <c r="AN45" s="187" t="e">
        <f ca="1">__xlfn.ISFORMULA(#REF!)</f>
        <v>#NAME?</v>
      </c>
      <c r="AO45" s="199" t="e">
        <f ca="1">__xlfn.ISFORMULA(#REF!)</f>
        <v>#NAME?</v>
      </c>
      <c r="AP45" s="193"/>
      <c r="AQ45" s="200"/>
      <c r="AR45" s="201"/>
      <c r="AS45" s="202"/>
      <c r="AT45" s="202"/>
      <c r="AU45" s="202"/>
      <c r="AV45" s="203"/>
    </row>
    <row r="46" spans="1:48" ht="12" customHeight="1">
      <c r="A46" s="48"/>
      <c r="B46" s="49"/>
      <c r="C46" s="49"/>
      <c r="D46" s="49"/>
      <c r="E46" s="49"/>
      <c r="F46" s="49"/>
      <c r="G46" s="49"/>
      <c r="H46" s="51"/>
      <c r="I46" s="115"/>
      <c r="J46" s="110"/>
      <c r="K46" s="116" t="s">
        <v>93</v>
      </c>
      <c r="L46" s="112">
        <f t="shared" ref="L46:Y46" si="20">L48+L173</f>
        <v>26920766</v>
      </c>
      <c r="M46" s="112">
        <f t="shared" si="20"/>
        <v>3572999.7964032115</v>
      </c>
      <c r="N46" s="113">
        <f t="shared" si="20"/>
        <v>28598275</v>
      </c>
      <c r="O46" s="113">
        <f t="shared" si="20"/>
        <v>3795643.3738137889</v>
      </c>
      <c r="P46" s="114">
        <f t="shared" si="20"/>
        <v>5449550</v>
      </c>
      <c r="Q46" s="114">
        <f t="shared" si="20"/>
        <v>4559300</v>
      </c>
      <c r="R46" s="88">
        <f t="shared" si="20"/>
        <v>4559300</v>
      </c>
      <c r="S46" s="90">
        <f t="shared" si="20"/>
        <v>2806152.65</v>
      </c>
      <c r="T46" s="90">
        <f t="shared" si="20"/>
        <v>1547844.5100000002</v>
      </c>
      <c r="U46" s="90" t="e">
        <f t="shared" ca="1" si="20"/>
        <v>#NAME?</v>
      </c>
      <c r="V46" s="89">
        <f t="shared" si="20"/>
        <v>5481130</v>
      </c>
      <c r="W46" s="89">
        <f t="shared" si="20"/>
        <v>5481130</v>
      </c>
      <c r="X46" s="88">
        <f t="shared" si="20"/>
        <v>6991250</v>
      </c>
      <c r="Y46" s="171">
        <f t="shared" si="20"/>
        <v>6923250</v>
      </c>
      <c r="Z46" s="171"/>
      <c r="AA46" s="171"/>
      <c r="AB46" s="171"/>
      <c r="AC46" s="172">
        <f>AC48+AC173</f>
        <v>4224500</v>
      </c>
      <c r="AD46" s="172">
        <f>AD48+AD173</f>
        <v>4224500</v>
      </c>
      <c r="AE46" s="178">
        <f>O46/M46*100</f>
        <v>106.23127876006888</v>
      </c>
      <c r="AF46" s="178">
        <f>P46/O46*100</f>
        <v>143.57381511647122</v>
      </c>
      <c r="AG46" s="178">
        <f>Q46/P46*100</f>
        <v>83.66378875319981</v>
      </c>
      <c r="AH46" s="178">
        <f>AC46/Q46*100</f>
        <v>92.65676748623693</v>
      </c>
      <c r="AI46" s="171"/>
      <c r="AJ46" s="171">
        <v>6923250</v>
      </c>
      <c r="AK46" s="171">
        <f t="shared" ref="AK46:AK83" si="21">W46/R46*100</f>
        <v>120.21867391924199</v>
      </c>
      <c r="AL46" s="171">
        <f>X46/W46*100</f>
        <v>127.55125311751409</v>
      </c>
      <c r="AM46" s="171">
        <f>Y46/X46*100</f>
        <v>99.027355623100306</v>
      </c>
      <c r="AN46" s="187" t="e">
        <f ca="1">__xlfn.ISFORMULA(#REF!)</f>
        <v>#NAME?</v>
      </c>
      <c r="AO46" s="199" t="e">
        <f ca="1">__xlfn.ISFORMULA(#REF!)</f>
        <v>#NAME?</v>
      </c>
      <c r="AP46" s="193" t="e">
        <f t="shared" ref="AP46:AP109" ca="1" si="22">__xlfn.ISFORMULA(X46)</f>
        <v>#NAME?</v>
      </c>
      <c r="AQ46" s="200">
        <f>AQ48+AQ173</f>
        <v>4790404.5</v>
      </c>
      <c r="AR46" s="204">
        <f>V46/R46*100</f>
        <v>120.21867391924199</v>
      </c>
      <c r="AS46" s="204">
        <f>W46/V46*100</f>
        <v>100</v>
      </c>
      <c r="AT46" s="204">
        <f>W46/R46*100</f>
        <v>120.21867391924199</v>
      </c>
      <c r="AU46" s="204">
        <f>AQ46/W46*100</f>
        <v>87.398118636120657</v>
      </c>
      <c r="AV46" s="204">
        <f>AQ46/R46*100</f>
        <v>105.06885925471015</v>
      </c>
    </row>
    <row r="47" spans="1:48" ht="12" customHeight="1">
      <c r="A47" s="52"/>
      <c r="B47" s="53"/>
      <c r="C47" s="53"/>
      <c r="D47" s="53"/>
      <c r="E47" s="53"/>
      <c r="F47" s="53"/>
      <c r="G47" s="53"/>
      <c r="H47" s="54"/>
      <c r="I47" s="117"/>
      <c r="J47" s="118"/>
      <c r="K47" s="18"/>
      <c r="L47" s="119"/>
      <c r="M47" s="119"/>
      <c r="N47" s="120"/>
      <c r="O47" s="120"/>
      <c r="P47" s="121"/>
      <c r="Q47" s="121"/>
      <c r="R47" s="157"/>
      <c r="S47" s="158"/>
      <c r="T47" s="158"/>
      <c r="U47" s="158"/>
      <c r="V47" s="89"/>
      <c r="W47" s="89"/>
      <c r="X47" s="159"/>
      <c r="Y47" s="179"/>
      <c r="Z47" s="179"/>
      <c r="AA47" s="179"/>
      <c r="AB47" s="179"/>
      <c r="AC47" s="180"/>
      <c r="AD47" s="180"/>
      <c r="AE47" s="178"/>
      <c r="AF47" s="178"/>
      <c r="AG47" s="178"/>
      <c r="AH47" s="178"/>
      <c r="AI47" s="179"/>
      <c r="AJ47" s="179"/>
      <c r="AK47" s="171"/>
      <c r="AL47" s="171"/>
      <c r="AM47" s="171"/>
      <c r="AN47" s="187" t="e">
        <f ca="1">__xlfn.ISFORMULA(#REF!)</f>
        <v>#NAME?</v>
      </c>
      <c r="AO47" s="199" t="e">
        <f ca="1">__xlfn.ISFORMULA(#REF!)</f>
        <v>#NAME?</v>
      </c>
      <c r="AP47" s="193" t="e">
        <f t="shared" ca="1" si="22"/>
        <v>#NAME?</v>
      </c>
      <c r="AQ47" s="200"/>
      <c r="AR47" s="204"/>
      <c r="AS47" s="204"/>
      <c r="AT47" s="204"/>
      <c r="AU47" s="204"/>
      <c r="AV47" s="204"/>
    </row>
    <row r="48" spans="1:48" ht="12" customHeight="1">
      <c r="A48" s="55"/>
      <c r="B48" s="56"/>
      <c r="C48" s="56"/>
      <c r="D48" s="56"/>
      <c r="E48" s="56"/>
      <c r="F48" s="56"/>
      <c r="G48" s="56"/>
      <c r="H48" s="57">
        <v>6</v>
      </c>
      <c r="I48" s="122"/>
      <c r="J48" s="123"/>
      <c r="K48" s="124" t="s">
        <v>94</v>
      </c>
      <c r="L48" s="112">
        <f t="shared" ref="L48:Y48" si="23">L50+L77+L103+L134+L157+L164</f>
        <v>26862820</v>
      </c>
      <c r="M48" s="112">
        <f t="shared" si="23"/>
        <v>3565309.0405468177</v>
      </c>
      <c r="N48" s="113">
        <f t="shared" si="23"/>
        <v>28595356</v>
      </c>
      <c r="O48" s="113">
        <f t="shared" si="23"/>
        <v>3795255.9559360268</v>
      </c>
      <c r="P48" s="114">
        <f t="shared" si="23"/>
        <v>5029020</v>
      </c>
      <c r="Q48" s="114">
        <f t="shared" si="23"/>
        <v>4231370</v>
      </c>
      <c r="R48" s="88">
        <f t="shared" si="23"/>
        <v>4231370</v>
      </c>
      <c r="S48" s="90">
        <f t="shared" si="23"/>
        <v>2806152.65</v>
      </c>
      <c r="T48" s="90">
        <f t="shared" si="23"/>
        <v>1547844.5100000002</v>
      </c>
      <c r="U48" s="90" t="e">
        <f t="shared" ca="1" si="23"/>
        <v>#NAME?</v>
      </c>
      <c r="V48" s="89">
        <f t="shared" si="23"/>
        <v>5476000</v>
      </c>
      <c r="W48" s="89">
        <f t="shared" si="23"/>
        <v>5476000</v>
      </c>
      <c r="X48" s="88">
        <f t="shared" si="23"/>
        <v>6790720</v>
      </c>
      <c r="Y48" s="171">
        <f t="shared" si="23"/>
        <v>6922720</v>
      </c>
      <c r="Z48" s="171"/>
      <c r="AA48" s="171"/>
      <c r="AB48" s="171"/>
      <c r="AC48" s="172">
        <f>AC50+AC77+AC103+AC134+AC157+AC164</f>
        <v>4123970</v>
      </c>
      <c r="AD48" s="172">
        <f>AD50+AD77+AD103+AD134+AD157+AD164</f>
        <v>4123970</v>
      </c>
      <c r="AE48" s="178">
        <f>O48/M48*100</f>
        <v>106.4495647578966</v>
      </c>
      <c r="AF48" s="178">
        <f>P48/O48*100</f>
        <v>132.50805896593843</v>
      </c>
      <c r="AG48" s="178">
        <f>Q48/P48*100</f>
        <v>84.139056913673045</v>
      </c>
      <c r="AH48" s="178">
        <f>AC48/Q48*100</f>
        <v>97.461814967729126</v>
      </c>
      <c r="AI48" s="171"/>
      <c r="AJ48" s="171">
        <v>6922720</v>
      </c>
      <c r="AK48" s="171">
        <f t="shared" si="21"/>
        <v>129.41435043496548</v>
      </c>
      <c r="AL48" s="171">
        <f>X48/W48*100</f>
        <v>124.00876552227903</v>
      </c>
      <c r="AM48" s="171">
        <f>Y48/X48*100</f>
        <v>101.94382922576692</v>
      </c>
      <c r="AN48" s="187" t="e">
        <f ca="1">__xlfn.ISFORMULA(#REF!)</f>
        <v>#NAME?</v>
      </c>
      <c r="AO48" s="199" t="e">
        <f ca="1">__xlfn.ISFORMULA(#REF!)</f>
        <v>#NAME?</v>
      </c>
      <c r="AP48" s="193" t="e">
        <f t="shared" ca="1" si="22"/>
        <v>#NAME?</v>
      </c>
      <c r="AQ48" s="200">
        <f>AQ50+AQ77+AQ103+AQ134+AQ157+AQ164</f>
        <v>4785432.96</v>
      </c>
      <c r="AR48" s="204">
        <f t="shared" ref="AR48:AR86" si="24">V48/R48*100</f>
        <v>129.41435043496548</v>
      </c>
      <c r="AS48" s="204">
        <f t="shared" ref="AS48:AS77" si="25">W48/V48*100</f>
        <v>100</v>
      </c>
      <c r="AT48" s="204">
        <f t="shared" ref="AT48:AT77" si="26">W48/R48*100</f>
        <v>129.41435043496548</v>
      </c>
      <c r="AU48" s="204">
        <f t="shared" ref="AU48:AU77" si="27">AQ48/W48*100</f>
        <v>87.389206720233744</v>
      </c>
      <c r="AV48" s="204">
        <f t="shared" ref="AV48:AV77" si="28">AQ48/R48*100</f>
        <v>113.09417422725974</v>
      </c>
    </row>
    <row r="49" spans="1:48" ht="12" customHeight="1">
      <c r="A49" s="47"/>
      <c r="B49" s="42"/>
      <c r="C49" s="42"/>
      <c r="D49" s="42"/>
      <c r="E49" s="42"/>
      <c r="F49" s="42"/>
      <c r="G49" s="42"/>
      <c r="H49" s="38"/>
      <c r="I49" s="73"/>
      <c r="J49" s="91"/>
      <c r="K49" s="84"/>
      <c r="L49" s="85">
        <v>1</v>
      </c>
      <c r="M49" s="85">
        <v>2</v>
      </c>
      <c r="N49" s="86">
        <v>3</v>
      </c>
      <c r="O49" s="86">
        <v>4</v>
      </c>
      <c r="P49" s="87">
        <v>5</v>
      </c>
      <c r="Q49" s="87">
        <v>6</v>
      </c>
      <c r="R49" s="160"/>
      <c r="S49" s="161"/>
      <c r="T49" s="161"/>
      <c r="U49" s="161"/>
      <c r="V49" s="89"/>
      <c r="W49" s="89"/>
      <c r="X49" s="162"/>
      <c r="Y49" s="181"/>
      <c r="Z49" s="181"/>
      <c r="AA49" s="181"/>
      <c r="AB49" s="181"/>
      <c r="AC49" s="182"/>
      <c r="AD49" s="182"/>
      <c r="AE49" s="182"/>
      <c r="AF49" s="182"/>
      <c r="AG49" s="182"/>
      <c r="AH49" s="182"/>
      <c r="AI49" s="181"/>
      <c r="AJ49" s="181"/>
      <c r="AK49" s="171"/>
      <c r="AL49" s="171"/>
      <c r="AM49" s="171"/>
      <c r="AN49" s="187" t="e">
        <f ca="1">__xlfn.ISFORMULA(#REF!)</f>
        <v>#NAME?</v>
      </c>
      <c r="AO49" s="199" t="e">
        <f ca="1">__xlfn.ISFORMULA(#REF!)</f>
        <v>#NAME?</v>
      </c>
      <c r="AP49" s="193" t="e">
        <f t="shared" ca="1" si="22"/>
        <v>#NAME?</v>
      </c>
      <c r="AQ49" s="200"/>
      <c r="AR49" s="204"/>
      <c r="AS49" s="204"/>
      <c r="AT49" s="204"/>
      <c r="AU49" s="204"/>
      <c r="AV49" s="204"/>
    </row>
    <row r="50" spans="1:48" ht="12" customHeight="1">
      <c r="A50" s="58"/>
      <c r="B50" s="59"/>
      <c r="C50" s="59"/>
      <c r="D50" s="59"/>
      <c r="E50" s="59"/>
      <c r="F50" s="59"/>
      <c r="G50" s="59"/>
      <c r="H50" s="60">
        <v>61</v>
      </c>
      <c r="I50" s="125"/>
      <c r="J50" s="126"/>
      <c r="K50" s="127" t="s">
        <v>95</v>
      </c>
      <c r="L50" s="112">
        <f t="shared" ref="L50:Q50" si="29">L52+L60+L69</f>
        <v>12534304</v>
      </c>
      <c r="M50" s="112">
        <f t="shared" si="29"/>
        <v>1663588.028402681</v>
      </c>
      <c r="N50" s="113">
        <f t="shared" si="29"/>
        <v>16604519</v>
      </c>
      <c r="O50" s="113">
        <f t="shared" si="29"/>
        <v>2203798.394054018</v>
      </c>
      <c r="P50" s="114">
        <f t="shared" si="29"/>
        <v>2449000</v>
      </c>
      <c r="Q50" s="114">
        <f t="shared" si="29"/>
        <v>2554000</v>
      </c>
      <c r="R50" s="88">
        <f t="shared" ref="R50:Y50" si="30">R52+R60+R69+R76</f>
        <v>2554000</v>
      </c>
      <c r="S50" s="90">
        <f t="shared" si="30"/>
        <v>2387060.71</v>
      </c>
      <c r="T50" s="90">
        <f t="shared" si="30"/>
        <v>1547844.5100000002</v>
      </c>
      <c r="U50" s="90" t="e">
        <f t="shared" ca="1" si="30"/>
        <v>#NAME?</v>
      </c>
      <c r="V50" s="89">
        <f t="shared" si="30"/>
        <v>3350000</v>
      </c>
      <c r="W50" s="89">
        <f t="shared" si="30"/>
        <v>3350000</v>
      </c>
      <c r="X50" s="88">
        <f t="shared" si="30"/>
        <v>4160000</v>
      </c>
      <c r="Y50" s="171">
        <f t="shared" si="30"/>
        <v>4430000</v>
      </c>
      <c r="Z50" s="171"/>
      <c r="AA50" s="171"/>
      <c r="AB50" s="171"/>
      <c r="AC50" s="172">
        <f>AC52+AC60+AC69</f>
        <v>2404000</v>
      </c>
      <c r="AD50" s="172">
        <f>AD52+AD60+AD69</f>
        <v>2404000</v>
      </c>
      <c r="AE50" s="178">
        <f>O50/M50*100</f>
        <v>132.47260478124673</v>
      </c>
      <c r="AF50" s="178">
        <f>P50/O50*100</f>
        <v>111.12631748019923</v>
      </c>
      <c r="AG50" s="178">
        <f>Q50/P50*100</f>
        <v>104.28746427113107</v>
      </c>
      <c r="AH50" s="178">
        <f>AC50/Q50*100</f>
        <v>94.126859827721219</v>
      </c>
      <c r="AI50" s="171"/>
      <c r="AJ50" s="171">
        <v>4430000</v>
      </c>
      <c r="AK50" s="171">
        <f t="shared" si="21"/>
        <v>131.16679718089273</v>
      </c>
      <c r="AL50" s="171">
        <f>X50/W50*100</f>
        <v>124.17910447761193</v>
      </c>
      <c r="AM50" s="171">
        <f>Y50/X50*100</f>
        <v>106.49038461538463</v>
      </c>
      <c r="AN50" s="187" t="e">
        <f ca="1">__xlfn.ISFORMULA(#REF!)</f>
        <v>#NAME?</v>
      </c>
      <c r="AO50" s="199" t="e">
        <f ca="1">__xlfn.ISFORMULA(#REF!)</f>
        <v>#NAME?</v>
      </c>
      <c r="AP50" s="193" t="e">
        <f t="shared" ca="1" si="22"/>
        <v>#NAME?</v>
      </c>
      <c r="AQ50" s="200">
        <f>AQ52+AQ60+AQ69+AQ76</f>
        <v>3005542.72</v>
      </c>
      <c r="AR50" s="204">
        <f t="shared" si="24"/>
        <v>131.16679718089273</v>
      </c>
      <c r="AS50" s="204">
        <f t="shared" si="25"/>
        <v>100</v>
      </c>
      <c r="AT50" s="204">
        <f t="shared" si="26"/>
        <v>131.16679718089273</v>
      </c>
      <c r="AU50" s="204">
        <f t="shared" si="27"/>
        <v>89.717693134328371</v>
      </c>
      <c r="AV50" s="204">
        <f t="shared" si="28"/>
        <v>117.67982458888019</v>
      </c>
    </row>
    <row r="51" spans="1:48" ht="12" customHeight="1">
      <c r="A51" s="47"/>
      <c r="B51" s="42"/>
      <c r="C51" s="42"/>
      <c r="D51" s="42"/>
      <c r="E51" s="42"/>
      <c r="F51" s="42"/>
      <c r="G51" s="42"/>
      <c r="H51" s="38"/>
      <c r="I51" s="73"/>
      <c r="J51" s="91"/>
      <c r="K51" s="84"/>
      <c r="L51" s="85"/>
      <c r="M51" s="85"/>
      <c r="N51" s="86"/>
      <c r="O51" s="86"/>
      <c r="P51" s="87"/>
      <c r="Q51" s="87"/>
      <c r="R51" s="160"/>
      <c r="S51" s="161"/>
      <c r="T51" s="161"/>
      <c r="U51" s="161"/>
      <c r="V51" s="89"/>
      <c r="W51" s="89"/>
      <c r="X51" s="162"/>
      <c r="Y51" s="181"/>
      <c r="Z51" s="181"/>
      <c r="AA51" s="181"/>
      <c r="AB51" s="181"/>
      <c r="AC51" s="182"/>
      <c r="AD51" s="182"/>
      <c r="AE51" s="178"/>
      <c r="AF51" s="178"/>
      <c r="AG51" s="178"/>
      <c r="AH51" s="178"/>
      <c r="AI51" s="181"/>
      <c r="AJ51" s="181"/>
      <c r="AK51" s="171"/>
      <c r="AL51" s="171"/>
      <c r="AM51" s="171"/>
      <c r="AN51" s="187" t="e">
        <f ca="1">__xlfn.ISFORMULA(#REF!)</f>
        <v>#NAME?</v>
      </c>
      <c r="AO51" s="199" t="e">
        <f ca="1">__xlfn.ISFORMULA(#REF!)</f>
        <v>#NAME?</v>
      </c>
      <c r="AP51" s="193" t="e">
        <f t="shared" ca="1" si="22"/>
        <v>#NAME?</v>
      </c>
      <c r="AQ51" s="200"/>
      <c r="AR51" s="204"/>
      <c r="AS51" s="204"/>
      <c r="AT51" s="204"/>
      <c r="AU51" s="204"/>
      <c r="AV51" s="204"/>
    </row>
    <row r="52" spans="1:48" ht="12" customHeight="1">
      <c r="A52" s="61"/>
      <c r="B52" s="62"/>
      <c r="C52" s="62"/>
      <c r="D52" s="62"/>
      <c r="E52" s="62"/>
      <c r="F52" s="62"/>
      <c r="G52" s="62"/>
      <c r="H52" s="63">
        <v>611</v>
      </c>
      <c r="I52" s="128"/>
      <c r="J52" s="129"/>
      <c r="K52" s="19" t="s">
        <v>96</v>
      </c>
      <c r="L52" s="112">
        <f t="shared" ref="L52:Y52" si="31">L53+L54+L55+L56+L57+L58+L59</f>
        <v>5771415</v>
      </c>
      <c r="M52" s="112">
        <f t="shared" si="31"/>
        <v>765998.407326299</v>
      </c>
      <c r="N52" s="113">
        <f t="shared" si="31"/>
        <v>8886121</v>
      </c>
      <c r="O52" s="113">
        <f t="shared" si="31"/>
        <v>1179390.9350321852</v>
      </c>
      <c r="P52" s="114">
        <f t="shared" si="31"/>
        <v>1174000</v>
      </c>
      <c r="Q52" s="114">
        <f t="shared" si="31"/>
        <v>1364000</v>
      </c>
      <c r="R52" s="88">
        <f t="shared" si="31"/>
        <v>1364000</v>
      </c>
      <c r="S52" s="90">
        <f t="shared" si="31"/>
        <v>1547844.5100000002</v>
      </c>
      <c r="T52" s="90">
        <f t="shared" si="31"/>
        <v>1547844.5100000002</v>
      </c>
      <c r="U52" s="90" t="e">
        <f t="shared" ca="1" si="31"/>
        <v>#NAME?</v>
      </c>
      <c r="V52" s="89">
        <f t="shared" si="31"/>
        <v>1930000</v>
      </c>
      <c r="W52" s="89">
        <f t="shared" si="31"/>
        <v>1930000</v>
      </c>
      <c r="X52" s="88">
        <f t="shared" si="31"/>
        <v>2430000</v>
      </c>
      <c r="Y52" s="171">
        <f t="shared" si="31"/>
        <v>2530000</v>
      </c>
      <c r="Z52" s="171"/>
      <c r="AA52" s="171"/>
      <c r="AB52" s="171"/>
      <c r="AC52" s="172">
        <f>AC53+AC54+AC55+AC56+AC57+AC58+AC59</f>
        <v>1194000</v>
      </c>
      <c r="AD52" s="172">
        <f>AD53+AD54+AD55+AD56+AD57+AD58+AD59</f>
        <v>1194000</v>
      </c>
      <c r="AE52" s="178">
        <f t="shared" ref="AE52:AE57" si="32">O52/M52*100</f>
        <v>153.96780512231402</v>
      </c>
      <c r="AF52" s="178">
        <f t="shared" ref="AF52:AG57" si="33">P52/O52*100</f>
        <v>99.542905166382511</v>
      </c>
      <c r="AG52" s="178">
        <f t="shared" si="33"/>
        <v>116.1839863713799</v>
      </c>
      <c r="AH52" s="178">
        <f t="shared" ref="AH52:AH57" si="34">AC52/Q52*100</f>
        <v>87.536656891495596</v>
      </c>
      <c r="AI52" s="171"/>
      <c r="AJ52" s="171">
        <v>2530000</v>
      </c>
      <c r="AK52" s="171">
        <f t="shared" si="21"/>
        <v>141.49560117302053</v>
      </c>
      <c r="AL52" s="171">
        <f t="shared" ref="AL52:AM56" si="35">X52/W52*100</f>
        <v>125.90673575129534</v>
      </c>
      <c r="AM52" s="171">
        <f t="shared" si="35"/>
        <v>104.11522633744856</v>
      </c>
      <c r="AN52" s="187" t="e">
        <f ca="1">__xlfn.ISFORMULA(#REF!)</f>
        <v>#NAME?</v>
      </c>
      <c r="AO52" s="199" t="e">
        <f ca="1">__xlfn.ISFORMULA(#REF!)</f>
        <v>#NAME?</v>
      </c>
      <c r="AP52" s="193" t="e">
        <f t="shared" ca="1" si="22"/>
        <v>#NAME?</v>
      </c>
      <c r="AQ52" s="200">
        <f>AQ53+AQ54+AQ55+AQ56+AQ57+AQ58+AQ59</f>
        <v>1912846.8800000001</v>
      </c>
      <c r="AR52" s="204">
        <f t="shared" si="24"/>
        <v>141.49560117302053</v>
      </c>
      <c r="AS52" s="204">
        <f t="shared" si="25"/>
        <v>100</v>
      </c>
      <c r="AT52" s="204">
        <f t="shared" si="26"/>
        <v>141.49560117302053</v>
      </c>
      <c r="AU52" s="204">
        <f t="shared" si="27"/>
        <v>99.11123730569949</v>
      </c>
      <c r="AV52" s="204">
        <f t="shared" si="28"/>
        <v>140.2380410557185</v>
      </c>
    </row>
    <row r="53" spans="1:48" ht="12" customHeight="1">
      <c r="A53" s="52"/>
      <c r="B53" s="53"/>
      <c r="C53" s="53"/>
      <c r="D53" s="53"/>
      <c r="E53" s="53"/>
      <c r="F53" s="53"/>
      <c r="G53" s="53"/>
      <c r="H53" s="64">
        <v>6111</v>
      </c>
      <c r="I53" s="117" t="s">
        <v>97</v>
      </c>
      <c r="J53" s="118"/>
      <c r="K53" s="18" t="s">
        <v>98</v>
      </c>
      <c r="L53" s="130">
        <v>3668881</v>
      </c>
      <c r="M53" s="130">
        <f>3668881/7.5345</f>
        <v>486944.19005906163</v>
      </c>
      <c r="N53" s="131">
        <v>4784325</v>
      </c>
      <c r="O53" s="131">
        <f t="shared" ref="O53:O58" si="36">N53/7.5345</f>
        <v>634989.05036830576</v>
      </c>
      <c r="P53" s="132">
        <v>630000</v>
      </c>
      <c r="Q53" s="163">
        <v>820000</v>
      </c>
      <c r="R53" s="164">
        <v>820000</v>
      </c>
      <c r="S53" s="165">
        <v>1101793.8400000001</v>
      </c>
      <c r="T53" s="165">
        <v>1101793.8400000001</v>
      </c>
      <c r="U53" s="165">
        <v>1101793.8400000001</v>
      </c>
      <c r="V53" s="89">
        <v>1250000</v>
      </c>
      <c r="W53" s="89">
        <v>1250000</v>
      </c>
      <c r="X53" s="159">
        <v>1550000</v>
      </c>
      <c r="Y53" s="183">
        <v>1600000</v>
      </c>
      <c r="Z53" s="183"/>
      <c r="AA53" s="183"/>
      <c r="AB53" s="183"/>
      <c r="AC53" s="178">
        <v>640000</v>
      </c>
      <c r="AD53" s="178">
        <v>640000</v>
      </c>
      <c r="AE53" s="178">
        <f t="shared" si="32"/>
        <v>130.40283944886738</v>
      </c>
      <c r="AF53" s="178">
        <f t="shared" si="33"/>
        <v>99.214309228574564</v>
      </c>
      <c r="AG53" s="178">
        <f t="shared" si="33"/>
        <v>130.15873015873015</v>
      </c>
      <c r="AH53" s="178">
        <f t="shared" si="34"/>
        <v>78.048780487804876</v>
      </c>
      <c r="AI53" s="183"/>
      <c r="AJ53" s="183">
        <v>1600000</v>
      </c>
      <c r="AK53" s="171">
        <f t="shared" si="21"/>
        <v>152.4390243902439</v>
      </c>
      <c r="AL53" s="171">
        <f t="shared" si="35"/>
        <v>124</v>
      </c>
      <c r="AM53" s="171">
        <f t="shared" si="35"/>
        <v>103.2258064516129</v>
      </c>
      <c r="AN53" s="187" t="e">
        <f ca="1">__xlfn.ISFORMULA(#REF!)</f>
        <v>#NAME?</v>
      </c>
      <c r="AO53" s="199" t="e">
        <f ca="1">__xlfn.ISFORMULA(#REF!)</f>
        <v>#NAME?</v>
      </c>
      <c r="AP53" s="193" t="e">
        <f t="shared" ca="1" si="22"/>
        <v>#NAME?</v>
      </c>
      <c r="AQ53" s="200">
        <v>1225141.5900000001</v>
      </c>
      <c r="AR53" s="204">
        <f t="shared" si="24"/>
        <v>152.4390243902439</v>
      </c>
      <c r="AS53" s="204">
        <f t="shared" si="25"/>
        <v>100</v>
      </c>
      <c r="AT53" s="204">
        <f t="shared" si="26"/>
        <v>152.4390243902439</v>
      </c>
      <c r="AU53" s="204">
        <f t="shared" si="27"/>
        <v>98.011327200000011</v>
      </c>
      <c r="AV53" s="204">
        <f t="shared" si="28"/>
        <v>149.40751097560977</v>
      </c>
    </row>
    <row r="54" spans="1:48" ht="12" customHeight="1">
      <c r="A54" s="52"/>
      <c r="B54" s="53"/>
      <c r="C54" s="53"/>
      <c r="D54" s="53"/>
      <c r="E54" s="53"/>
      <c r="F54" s="53"/>
      <c r="G54" s="53"/>
      <c r="H54" s="64">
        <v>6112</v>
      </c>
      <c r="I54" s="117" t="s">
        <v>99</v>
      </c>
      <c r="J54" s="118"/>
      <c r="K54" s="18" t="s">
        <v>100</v>
      </c>
      <c r="L54" s="130">
        <v>774471</v>
      </c>
      <c r="M54" s="130">
        <f>774471/7.5345</f>
        <v>102789.96615568385</v>
      </c>
      <c r="N54" s="131">
        <v>1430045</v>
      </c>
      <c r="O54" s="131">
        <f t="shared" si="36"/>
        <v>189799.58855929392</v>
      </c>
      <c r="P54" s="132">
        <v>185000</v>
      </c>
      <c r="Q54" s="132">
        <v>185000</v>
      </c>
      <c r="R54" s="164">
        <v>185000</v>
      </c>
      <c r="S54" s="165">
        <v>158847.59</v>
      </c>
      <c r="T54" s="165">
        <v>158847.59</v>
      </c>
      <c r="U54" s="165">
        <v>158847.59</v>
      </c>
      <c r="V54" s="89">
        <v>240000</v>
      </c>
      <c r="W54" s="89">
        <v>240000</v>
      </c>
      <c r="X54" s="159">
        <v>300000</v>
      </c>
      <c r="Y54" s="183">
        <v>320000</v>
      </c>
      <c r="Z54" s="183"/>
      <c r="AA54" s="183"/>
      <c r="AB54" s="183"/>
      <c r="AC54" s="178">
        <v>190000</v>
      </c>
      <c r="AD54" s="178">
        <v>190000</v>
      </c>
      <c r="AE54" s="178">
        <f t="shared" si="32"/>
        <v>184.64797261614703</v>
      </c>
      <c r="AF54" s="178">
        <f t="shared" si="33"/>
        <v>97.471233422724453</v>
      </c>
      <c r="AG54" s="178">
        <f t="shared" si="33"/>
        <v>100</v>
      </c>
      <c r="AH54" s="178">
        <f t="shared" si="34"/>
        <v>102.70270270270269</v>
      </c>
      <c r="AI54" s="183"/>
      <c r="AJ54" s="183">
        <v>320000</v>
      </c>
      <c r="AK54" s="171">
        <f t="shared" si="21"/>
        <v>129.72972972972974</v>
      </c>
      <c r="AL54" s="171">
        <f t="shared" si="35"/>
        <v>125</v>
      </c>
      <c r="AM54" s="171">
        <f t="shared" si="35"/>
        <v>106.66666666666667</v>
      </c>
      <c r="AN54" s="187" t="e">
        <f ca="1">__xlfn.ISFORMULA(#REF!)</f>
        <v>#NAME?</v>
      </c>
      <c r="AO54" s="199" t="e">
        <f ca="1">__xlfn.ISFORMULA(#REF!)</f>
        <v>#NAME?</v>
      </c>
      <c r="AP54" s="193" t="e">
        <f t="shared" ca="1" si="22"/>
        <v>#NAME?</v>
      </c>
      <c r="AQ54" s="200">
        <v>237752.16</v>
      </c>
      <c r="AR54" s="204">
        <f t="shared" si="24"/>
        <v>129.72972972972974</v>
      </c>
      <c r="AS54" s="204">
        <f t="shared" si="25"/>
        <v>100</v>
      </c>
      <c r="AT54" s="204">
        <f t="shared" si="26"/>
        <v>129.72972972972974</v>
      </c>
      <c r="AU54" s="204">
        <f t="shared" si="27"/>
        <v>99.063400000000001</v>
      </c>
      <c r="AV54" s="204">
        <f t="shared" si="28"/>
        <v>128.51468108108108</v>
      </c>
    </row>
    <row r="55" spans="1:48" ht="12" customHeight="1">
      <c r="A55" s="52"/>
      <c r="B55" s="53"/>
      <c r="C55" s="53"/>
      <c r="D55" s="53"/>
      <c r="E55" s="53"/>
      <c r="F55" s="53"/>
      <c r="G55" s="53"/>
      <c r="H55" s="64">
        <v>6113</v>
      </c>
      <c r="I55" s="117" t="s">
        <v>101</v>
      </c>
      <c r="J55" s="118"/>
      <c r="K55" s="18" t="s">
        <v>102</v>
      </c>
      <c r="L55" s="130">
        <v>1651040</v>
      </c>
      <c r="M55" s="130">
        <f>1651040/7.5345</f>
        <v>219130.66560488418</v>
      </c>
      <c r="N55" s="131">
        <v>1751558</v>
      </c>
      <c r="O55" s="131">
        <f t="shared" si="36"/>
        <v>232471.69686110556</v>
      </c>
      <c r="P55" s="132">
        <v>225000</v>
      </c>
      <c r="Q55" s="132">
        <v>225000</v>
      </c>
      <c r="R55" s="164">
        <v>225000</v>
      </c>
      <c r="S55" s="165">
        <v>216708.02</v>
      </c>
      <c r="T55" s="165">
        <v>216708.02</v>
      </c>
      <c r="U55" s="165">
        <v>216708.02</v>
      </c>
      <c r="V55" s="89">
        <v>280000</v>
      </c>
      <c r="W55" s="89">
        <v>280000</v>
      </c>
      <c r="X55" s="159">
        <v>380000</v>
      </c>
      <c r="Y55" s="183">
        <v>360000</v>
      </c>
      <c r="Z55" s="183"/>
      <c r="AA55" s="183"/>
      <c r="AB55" s="183"/>
      <c r="AC55" s="178">
        <v>230000</v>
      </c>
      <c r="AD55" s="178">
        <v>230000</v>
      </c>
      <c r="AE55" s="178">
        <f t="shared" si="32"/>
        <v>106.08816261265626</v>
      </c>
      <c r="AF55" s="178">
        <f t="shared" si="33"/>
        <v>96.785975685646733</v>
      </c>
      <c r="AG55" s="178">
        <f t="shared" si="33"/>
        <v>100</v>
      </c>
      <c r="AH55" s="178">
        <f t="shared" si="34"/>
        <v>102.22222222222221</v>
      </c>
      <c r="AI55" s="183"/>
      <c r="AJ55" s="183">
        <v>360000</v>
      </c>
      <c r="AK55" s="171">
        <f t="shared" si="21"/>
        <v>124.44444444444444</v>
      </c>
      <c r="AL55" s="171">
        <f t="shared" si="35"/>
        <v>135.71428571428572</v>
      </c>
      <c r="AM55" s="171">
        <f t="shared" si="35"/>
        <v>94.73684210526315</v>
      </c>
      <c r="AN55" s="187" t="e">
        <f ca="1">__xlfn.ISFORMULA(#REF!)</f>
        <v>#NAME?</v>
      </c>
      <c r="AO55" s="199" t="e">
        <f ca="1">__xlfn.ISFORMULA(#REF!)</f>
        <v>#NAME?</v>
      </c>
      <c r="AP55" s="193" t="e">
        <f t="shared" ca="1" si="22"/>
        <v>#NAME?</v>
      </c>
      <c r="AQ55" s="200">
        <v>268087.09000000003</v>
      </c>
      <c r="AR55" s="204">
        <f t="shared" si="24"/>
        <v>124.44444444444444</v>
      </c>
      <c r="AS55" s="204">
        <f t="shared" si="25"/>
        <v>100</v>
      </c>
      <c r="AT55" s="204">
        <f t="shared" si="26"/>
        <v>124.44444444444444</v>
      </c>
      <c r="AU55" s="204">
        <f t="shared" si="27"/>
        <v>95.745389285714296</v>
      </c>
      <c r="AV55" s="204">
        <f t="shared" si="28"/>
        <v>119.1498177777778</v>
      </c>
    </row>
    <row r="56" spans="1:48" ht="12" customHeight="1">
      <c r="A56" s="52"/>
      <c r="B56" s="53"/>
      <c r="C56" s="53"/>
      <c r="D56" s="53"/>
      <c r="E56" s="53"/>
      <c r="F56" s="53"/>
      <c r="G56" s="53"/>
      <c r="H56" s="64">
        <v>6114</v>
      </c>
      <c r="I56" s="117" t="s">
        <v>103</v>
      </c>
      <c r="J56" s="118"/>
      <c r="K56" s="18" t="s">
        <v>104</v>
      </c>
      <c r="L56" s="130">
        <v>251103</v>
      </c>
      <c r="M56" s="130">
        <f>251103/7.5345</f>
        <v>33327.095361337844</v>
      </c>
      <c r="N56" s="131">
        <v>982923</v>
      </c>
      <c r="O56" s="131">
        <f t="shared" si="36"/>
        <v>130456.30101532947</v>
      </c>
      <c r="P56" s="132">
        <v>130000</v>
      </c>
      <c r="Q56" s="132">
        <v>130000</v>
      </c>
      <c r="R56" s="164">
        <v>130000</v>
      </c>
      <c r="S56" s="165">
        <v>102688.59</v>
      </c>
      <c r="T56" s="165">
        <v>102688.59</v>
      </c>
      <c r="U56" s="165">
        <v>102688.59</v>
      </c>
      <c r="V56" s="89">
        <v>160000</v>
      </c>
      <c r="W56" s="89">
        <v>160000</v>
      </c>
      <c r="X56" s="159">
        <v>200000</v>
      </c>
      <c r="Y56" s="183">
        <v>250000</v>
      </c>
      <c r="Z56" s="183"/>
      <c r="AA56" s="183"/>
      <c r="AB56" s="183"/>
      <c r="AC56" s="178">
        <v>130000</v>
      </c>
      <c r="AD56" s="178">
        <v>130000</v>
      </c>
      <c r="AE56" s="178">
        <f t="shared" si="32"/>
        <v>391.44215720242289</v>
      </c>
      <c r="AF56" s="178">
        <f t="shared" si="33"/>
        <v>99.650226925201679</v>
      </c>
      <c r="AG56" s="178">
        <f t="shared" si="33"/>
        <v>100</v>
      </c>
      <c r="AH56" s="178">
        <f t="shared" si="34"/>
        <v>100</v>
      </c>
      <c r="AI56" s="183"/>
      <c r="AJ56" s="183">
        <v>250000</v>
      </c>
      <c r="AK56" s="171">
        <f t="shared" si="21"/>
        <v>123.07692307692308</v>
      </c>
      <c r="AL56" s="171">
        <f t="shared" si="35"/>
        <v>125</v>
      </c>
      <c r="AM56" s="171">
        <f t="shared" si="35"/>
        <v>125</v>
      </c>
      <c r="AN56" s="187" t="e">
        <f ca="1">__xlfn.ISFORMULA(#REF!)</f>
        <v>#NAME?</v>
      </c>
      <c r="AO56" s="199" t="e">
        <f ca="1">__xlfn.ISFORMULA(#REF!)</f>
        <v>#NAME?</v>
      </c>
      <c r="AP56" s="193" t="e">
        <f t="shared" ca="1" si="22"/>
        <v>#NAME?</v>
      </c>
      <c r="AQ56" s="200">
        <v>125819.88</v>
      </c>
      <c r="AR56" s="204">
        <f t="shared" si="24"/>
        <v>123.07692307692308</v>
      </c>
      <c r="AS56" s="204">
        <f t="shared" si="25"/>
        <v>100</v>
      </c>
      <c r="AT56" s="204">
        <f t="shared" si="26"/>
        <v>123.07692307692308</v>
      </c>
      <c r="AU56" s="204">
        <f t="shared" si="27"/>
        <v>78.637425000000007</v>
      </c>
      <c r="AV56" s="204">
        <f t="shared" si="28"/>
        <v>96.78452307692308</v>
      </c>
    </row>
    <row r="57" spans="1:48" ht="12" customHeight="1">
      <c r="A57" s="52"/>
      <c r="B57" s="53"/>
      <c r="C57" s="53"/>
      <c r="D57" s="53"/>
      <c r="E57" s="53"/>
      <c r="F57" s="53"/>
      <c r="G57" s="53"/>
      <c r="H57" s="64">
        <v>6115</v>
      </c>
      <c r="I57" s="117" t="s">
        <v>105</v>
      </c>
      <c r="J57" s="118"/>
      <c r="K57" s="18" t="s">
        <v>106</v>
      </c>
      <c r="L57" s="130">
        <v>-574080</v>
      </c>
      <c r="M57" s="130">
        <f>-574080/7.5345</f>
        <v>-76193.509854668519</v>
      </c>
      <c r="N57" s="131">
        <v>-62730</v>
      </c>
      <c r="O57" s="131">
        <f t="shared" si="36"/>
        <v>-8325.7017718494917</v>
      </c>
      <c r="P57" s="132">
        <v>3000</v>
      </c>
      <c r="Q57" s="132">
        <v>3000</v>
      </c>
      <c r="R57" s="164">
        <v>3000</v>
      </c>
      <c r="S57" s="165">
        <v>-32193.53</v>
      </c>
      <c r="T57" s="165">
        <v>-32193.53</v>
      </c>
      <c r="U57" s="165">
        <v>-32193.53</v>
      </c>
      <c r="V57" s="89">
        <v>0</v>
      </c>
      <c r="W57" s="89">
        <v>0</v>
      </c>
      <c r="X57" s="159"/>
      <c r="Y57" s="183"/>
      <c r="Z57" s="183"/>
      <c r="AA57" s="183"/>
      <c r="AB57" s="183"/>
      <c r="AC57" s="178">
        <v>3000</v>
      </c>
      <c r="AD57" s="178">
        <v>3000</v>
      </c>
      <c r="AE57" s="178">
        <f t="shared" si="32"/>
        <v>10.927048494983278</v>
      </c>
      <c r="AF57" s="178">
        <f t="shared" si="33"/>
        <v>-36.032998565279769</v>
      </c>
      <c r="AG57" s="178">
        <f t="shared" si="33"/>
        <v>100</v>
      </c>
      <c r="AH57" s="178">
        <f t="shared" si="34"/>
        <v>100</v>
      </c>
      <c r="AI57" s="183"/>
      <c r="AJ57" s="183"/>
      <c r="AK57" s="171">
        <f t="shared" si="21"/>
        <v>0</v>
      </c>
      <c r="AL57" s="171"/>
      <c r="AM57" s="171"/>
      <c r="AN57" s="187" t="e">
        <f ca="1">__xlfn.ISFORMULA(#REF!)</f>
        <v>#NAME?</v>
      </c>
      <c r="AO57" s="199" t="e">
        <f ca="1">__xlfn.ISFORMULA(#REF!)</f>
        <v>#NAME?</v>
      </c>
      <c r="AP57" s="193" t="e">
        <f t="shared" ca="1" si="22"/>
        <v>#NAME?</v>
      </c>
      <c r="AQ57" s="200">
        <v>56046.16</v>
      </c>
      <c r="AR57" s="204">
        <f t="shared" si="24"/>
        <v>0</v>
      </c>
      <c r="AS57" s="204"/>
      <c r="AT57" s="204">
        <f t="shared" si="26"/>
        <v>0</v>
      </c>
      <c r="AU57" s="204"/>
      <c r="AV57" s="204">
        <f t="shared" si="28"/>
        <v>1868.2053333333336</v>
      </c>
    </row>
    <row r="58" spans="1:48" s="26" customFormat="1" ht="12" customHeight="1">
      <c r="A58" s="52"/>
      <c r="B58" s="53"/>
      <c r="C58" s="53"/>
      <c r="D58" s="53"/>
      <c r="E58" s="53"/>
      <c r="F58" s="53"/>
      <c r="G58" s="53"/>
      <c r="H58" s="64">
        <v>6116</v>
      </c>
      <c r="I58" s="117"/>
      <c r="J58" s="118"/>
      <c r="K58" s="133" t="s">
        <v>107</v>
      </c>
      <c r="L58" s="130">
        <v>0</v>
      </c>
      <c r="M58" s="130">
        <v>0</v>
      </c>
      <c r="N58" s="131">
        <v>0</v>
      </c>
      <c r="O58" s="131">
        <f t="shared" si="36"/>
        <v>0</v>
      </c>
      <c r="P58" s="132">
        <v>1000</v>
      </c>
      <c r="Q58" s="132">
        <v>1000</v>
      </c>
      <c r="R58" s="164">
        <v>1000</v>
      </c>
      <c r="S58" s="165"/>
      <c r="T58" s="165"/>
      <c r="U58" s="90" t="e">
        <f ca="1">__xlfn.ISFORMULA(S58)</f>
        <v>#NAME?</v>
      </c>
      <c r="V58" s="89">
        <v>0</v>
      </c>
      <c r="W58" s="89">
        <v>0</v>
      </c>
      <c r="X58" s="159"/>
      <c r="Y58" s="183"/>
      <c r="Z58" s="183"/>
      <c r="AA58" s="183"/>
      <c r="AB58" s="183"/>
      <c r="AC58" s="178">
        <v>1000</v>
      </c>
      <c r="AD58" s="178">
        <v>1000</v>
      </c>
      <c r="AE58" s="178"/>
      <c r="AF58" s="178"/>
      <c r="AG58" s="178"/>
      <c r="AH58" s="178"/>
      <c r="AI58" s="183"/>
      <c r="AJ58" s="183"/>
      <c r="AK58" s="171">
        <f t="shared" si="21"/>
        <v>0</v>
      </c>
      <c r="AL58" s="171"/>
      <c r="AM58" s="171"/>
      <c r="AN58" s="187" t="e">
        <f ca="1">__xlfn.ISFORMULA(#REF!)</f>
        <v>#NAME?</v>
      </c>
      <c r="AO58" s="199" t="e">
        <f ca="1">__xlfn.ISFORMULA(#REF!)</f>
        <v>#NAME?</v>
      </c>
      <c r="AP58" s="193" t="e">
        <f t="shared" ca="1" si="22"/>
        <v>#NAME?</v>
      </c>
      <c r="AQ58" s="200"/>
      <c r="AR58" s="204">
        <f t="shared" si="24"/>
        <v>0</v>
      </c>
      <c r="AS58" s="204"/>
      <c r="AT58" s="204">
        <f t="shared" si="26"/>
        <v>0</v>
      </c>
      <c r="AU58" s="204"/>
      <c r="AV58" s="204">
        <f t="shared" si="28"/>
        <v>0</v>
      </c>
    </row>
    <row r="59" spans="1:48" ht="12" customHeight="1">
      <c r="A59" s="65"/>
      <c r="B59" s="66"/>
      <c r="C59" s="66"/>
      <c r="D59" s="66"/>
      <c r="E59" s="66"/>
      <c r="F59" s="66"/>
      <c r="G59" s="66"/>
      <c r="H59" s="67"/>
      <c r="I59" s="134"/>
      <c r="J59" s="135"/>
      <c r="K59" s="136"/>
      <c r="L59" s="137"/>
      <c r="M59" s="137"/>
      <c r="N59" s="138"/>
      <c r="O59" s="138"/>
      <c r="P59" s="139"/>
      <c r="Q59" s="139"/>
      <c r="R59" s="166"/>
      <c r="S59" s="139"/>
      <c r="T59" s="139"/>
      <c r="U59" s="90" t="e">
        <f ca="1">__xlfn.ISFORMULA(S59)</f>
        <v>#NAME?</v>
      </c>
      <c r="V59" s="89"/>
      <c r="W59" s="89"/>
      <c r="X59" s="137"/>
      <c r="Y59" s="184"/>
      <c r="Z59" s="184"/>
      <c r="AA59" s="184"/>
      <c r="AB59" s="184"/>
      <c r="AC59" s="185"/>
      <c r="AD59" s="185"/>
      <c r="AE59" s="178"/>
      <c r="AF59" s="178"/>
      <c r="AG59" s="178"/>
      <c r="AH59" s="178"/>
      <c r="AI59" s="184"/>
      <c r="AJ59" s="184"/>
      <c r="AK59" s="171"/>
      <c r="AL59" s="171"/>
      <c r="AM59" s="171"/>
      <c r="AN59" s="187" t="e">
        <f ca="1">__xlfn.ISFORMULA(#REF!)</f>
        <v>#NAME?</v>
      </c>
      <c r="AO59" s="199" t="e">
        <f ca="1">__xlfn.ISFORMULA(#REF!)</f>
        <v>#NAME?</v>
      </c>
      <c r="AP59" s="193" t="e">
        <f t="shared" ca="1" si="22"/>
        <v>#NAME?</v>
      </c>
      <c r="AQ59" s="200"/>
      <c r="AR59" s="204"/>
      <c r="AS59" s="204"/>
      <c r="AT59" s="204"/>
      <c r="AU59" s="204"/>
      <c r="AV59" s="204"/>
    </row>
    <row r="60" spans="1:48" ht="12" customHeight="1">
      <c r="A60" s="61"/>
      <c r="B60" s="62"/>
      <c r="C60" s="62"/>
      <c r="D60" s="62"/>
      <c r="E60" s="62"/>
      <c r="F60" s="62"/>
      <c r="G60" s="62"/>
      <c r="H60" s="63">
        <v>613</v>
      </c>
      <c r="I60" s="128"/>
      <c r="J60" s="129"/>
      <c r="K60" s="140" t="s">
        <v>108</v>
      </c>
      <c r="L60" s="112">
        <f t="shared" ref="L60:Q60" si="37">L62+L66</f>
        <v>6426211</v>
      </c>
      <c r="M60" s="112">
        <f t="shared" si="37"/>
        <v>852904.77138496249</v>
      </c>
      <c r="N60" s="113">
        <f t="shared" si="37"/>
        <v>7200125</v>
      </c>
      <c r="O60" s="113">
        <f t="shared" si="37"/>
        <v>955620.81093635934</v>
      </c>
      <c r="P60" s="114">
        <f t="shared" si="37"/>
        <v>1200000</v>
      </c>
      <c r="Q60" s="114">
        <f t="shared" si="37"/>
        <v>1100000</v>
      </c>
      <c r="R60" s="167">
        <v>1100000</v>
      </c>
      <c r="S60" s="90">
        <f t="shared" ref="S60:Y60" si="38">S62+S66</f>
        <v>777792.2</v>
      </c>
      <c r="T60" s="90">
        <f t="shared" si="38"/>
        <v>0</v>
      </c>
      <c r="U60" s="90" t="e">
        <f t="shared" ca="1" si="38"/>
        <v>#NAME?</v>
      </c>
      <c r="V60" s="89">
        <f t="shared" si="38"/>
        <v>1320000</v>
      </c>
      <c r="W60" s="89">
        <f t="shared" si="38"/>
        <v>1320000</v>
      </c>
      <c r="X60" s="88">
        <f t="shared" si="38"/>
        <v>1610000</v>
      </c>
      <c r="Y60" s="171">
        <f t="shared" si="38"/>
        <v>1750000</v>
      </c>
      <c r="Z60" s="171"/>
      <c r="AA60" s="171"/>
      <c r="AB60" s="171"/>
      <c r="AC60" s="172">
        <f>AC62+AC66</f>
        <v>1135000</v>
      </c>
      <c r="AD60" s="172">
        <f>AD62+AD66</f>
        <v>1135000</v>
      </c>
      <c r="AE60" s="178">
        <f>O60/M60*100</f>
        <v>112.04308417510723</v>
      </c>
      <c r="AF60" s="178">
        <f>P60/O60*100</f>
        <v>125.5728199163209</v>
      </c>
      <c r="AG60" s="178">
        <f>Q60/P60*100</f>
        <v>91.666666666666657</v>
      </c>
      <c r="AH60" s="178">
        <f>AC60/Q60*100</f>
        <v>103.18181818181817</v>
      </c>
      <c r="AI60" s="171"/>
      <c r="AJ60" s="171">
        <v>1750000</v>
      </c>
      <c r="AK60" s="171">
        <f t="shared" si="21"/>
        <v>120</v>
      </c>
      <c r="AL60" s="171">
        <f>X60/W60*100</f>
        <v>121.96969696969697</v>
      </c>
      <c r="AM60" s="171">
        <f>Y60/X60*100</f>
        <v>108.69565217391303</v>
      </c>
      <c r="AN60" s="187" t="e">
        <f ca="1">__xlfn.ISFORMULA(#REF!)</f>
        <v>#NAME?</v>
      </c>
      <c r="AO60" s="199" t="e">
        <f ca="1">__xlfn.ISFORMULA(#REF!)</f>
        <v>#NAME?</v>
      </c>
      <c r="AP60" s="193" t="e">
        <f t="shared" ca="1" si="22"/>
        <v>#NAME?</v>
      </c>
      <c r="AQ60" s="200">
        <f>AQ62+AQ66</f>
        <v>1001164.5900000001</v>
      </c>
      <c r="AR60" s="204">
        <f t="shared" si="24"/>
        <v>120</v>
      </c>
      <c r="AS60" s="204">
        <f t="shared" si="25"/>
        <v>100</v>
      </c>
      <c r="AT60" s="204">
        <f t="shared" si="26"/>
        <v>120</v>
      </c>
      <c r="AU60" s="204">
        <f t="shared" si="27"/>
        <v>75.845802272727283</v>
      </c>
      <c r="AV60" s="204">
        <f t="shared" si="28"/>
        <v>91.014962727272732</v>
      </c>
    </row>
    <row r="61" spans="1:48" ht="12" customHeight="1">
      <c r="A61" s="68"/>
      <c r="B61" s="69"/>
      <c r="C61" s="69"/>
      <c r="D61" s="69"/>
      <c r="E61" s="69"/>
      <c r="F61" s="69"/>
      <c r="G61" s="69"/>
      <c r="H61" s="70"/>
      <c r="I61" s="141"/>
      <c r="J61" s="142"/>
      <c r="K61" s="142"/>
      <c r="L61" s="85"/>
      <c r="M61" s="85"/>
      <c r="N61" s="86"/>
      <c r="O61" s="86"/>
      <c r="P61" s="87"/>
      <c r="Q61" s="87"/>
      <c r="R61" s="168"/>
      <c r="S61" s="161"/>
      <c r="T61" s="161"/>
      <c r="U61" s="161"/>
      <c r="V61" s="89"/>
      <c r="W61" s="89"/>
      <c r="X61" s="162"/>
      <c r="Y61" s="181"/>
      <c r="Z61" s="181"/>
      <c r="AA61" s="181"/>
      <c r="AB61" s="181"/>
      <c r="AC61" s="182"/>
      <c r="AD61" s="182"/>
      <c r="AE61" s="178"/>
      <c r="AF61" s="178"/>
      <c r="AG61" s="178"/>
      <c r="AH61" s="178"/>
      <c r="AI61" s="181"/>
      <c r="AJ61" s="181"/>
      <c r="AK61" s="171"/>
      <c r="AL61" s="171"/>
      <c r="AM61" s="171"/>
      <c r="AN61" s="187" t="e">
        <f ca="1">__xlfn.ISFORMULA(#REF!)</f>
        <v>#NAME?</v>
      </c>
      <c r="AO61" s="199" t="e">
        <f ca="1">__xlfn.ISFORMULA(#REF!)</f>
        <v>#NAME?</v>
      </c>
      <c r="AP61" s="193" t="e">
        <f t="shared" ca="1" si="22"/>
        <v>#NAME?</v>
      </c>
      <c r="AQ61" s="200"/>
      <c r="AR61" s="204"/>
      <c r="AS61" s="204"/>
      <c r="AT61" s="204"/>
      <c r="AU61" s="204"/>
      <c r="AV61" s="204"/>
    </row>
    <row r="62" spans="1:48" ht="12" customHeight="1">
      <c r="A62" s="52"/>
      <c r="B62" s="53"/>
      <c r="C62" s="53"/>
      <c r="D62" s="53"/>
      <c r="E62" s="53"/>
      <c r="F62" s="53"/>
      <c r="G62" s="53"/>
      <c r="H62" s="64">
        <v>6131</v>
      </c>
      <c r="I62" s="117"/>
      <c r="J62" s="118"/>
      <c r="K62" s="18" t="s">
        <v>109</v>
      </c>
      <c r="L62" s="112">
        <f t="shared" ref="L62:Q62" si="39">L63+L64</f>
        <v>2032629</v>
      </c>
      <c r="M62" s="112">
        <f t="shared" si="39"/>
        <v>269776.22934501292</v>
      </c>
      <c r="N62" s="113">
        <f t="shared" si="39"/>
        <v>2391034</v>
      </c>
      <c r="O62" s="113">
        <f t="shared" si="39"/>
        <v>317344.74749485694</v>
      </c>
      <c r="P62" s="114">
        <f t="shared" si="39"/>
        <v>400000</v>
      </c>
      <c r="Q62" s="114">
        <f t="shared" si="39"/>
        <v>400000</v>
      </c>
      <c r="R62" s="167">
        <v>400000</v>
      </c>
      <c r="S62" s="90">
        <f t="shared" ref="S62:Y62" si="40">S63+S64</f>
        <v>327039.75</v>
      </c>
      <c r="T62" s="90">
        <f t="shared" si="40"/>
        <v>0</v>
      </c>
      <c r="U62" s="90" t="e">
        <f t="shared" ca="1" si="40"/>
        <v>#NAME?</v>
      </c>
      <c r="V62" s="89">
        <f t="shared" si="40"/>
        <v>470000</v>
      </c>
      <c r="W62" s="89">
        <f t="shared" si="40"/>
        <v>470000</v>
      </c>
      <c r="X62" s="88">
        <f t="shared" si="40"/>
        <v>710000</v>
      </c>
      <c r="Y62" s="171">
        <f t="shared" si="40"/>
        <v>850000</v>
      </c>
      <c r="Z62" s="171"/>
      <c r="AA62" s="171"/>
      <c r="AB62" s="171"/>
      <c r="AC62" s="172">
        <f>AC63+AC64</f>
        <v>335000</v>
      </c>
      <c r="AD62" s="172">
        <f>AD63+AD64</f>
        <v>335000</v>
      </c>
      <c r="AE62" s="178">
        <f>O62/M62*100</f>
        <v>117.63258322104033</v>
      </c>
      <c r="AF62" s="178">
        <f t="shared" ref="AF62:AG64" si="41">P62/O62*100</f>
        <v>126.04588642403247</v>
      </c>
      <c r="AG62" s="178">
        <f t="shared" si="41"/>
        <v>100</v>
      </c>
      <c r="AH62" s="178">
        <f>AC62/Q62*100</f>
        <v>83.75</v>
      </c>
      <c r="AI62" s="171"/>
      <c r="AJ62" s="171">
        <v>850000</v>
      </c>
      <c r="AK62" s="171">
        <f t="shared" si="21"/>
        <v>117.5</v>
      </c>
      <c r="AL62" s="171">
        <f t="shared" ref="AL62:AM64" si="42">X62/W62*100</f>
        <v>151.06382978723406</v>
      </c>
      <c r="AM62" s="171">
        <f t="shared" si="42"/>
        <v>119.71830985915493</v>
      </c>
      <c r="AN62" s="187" t="e">
        <f ca="1">__xlfn.ISFORMULA(#REF!)</f>
        <v>#NAME?</v>
      </c>
      <c r="AO62" s="199" t="e">
        <f ca="1">__xlfn.ISFORMULA(#REF!)</f>
        <v>#NAME?</v>
      </c>
      <c r="AP62" s="193" t="e">
        <f t="shared" ca="1" si="22"/>
        <v>#NAME?</v>
      </c>
      <c r="AQ62" s="200">
        <f>AQ63+AQ64</f>
        <v>372707.54000000004</v>
      </c>
      <c r="AR62" s="204">
        <f t="shared" si="24"/>
        <v>117.5</v>
      </c>
      <c r="AS62" s="204">
        <f t="shared" si="25"/>
        <v>100</v>
      </c>
      <c r="AT62" s="204">
        <f t="shared" si="26"/>
        <v>117.5</v>
      </c>
      <c r="AU62" s="204">
        <f t="shared" si="27"/>
        <v>79.299476595744693</v>
      </c>
      <c r="AV62" s="204">
        <f t="shared" si="28"/>
        <v>93.176885000000013</v>
      </c>
    </row>
    <row r="63" spans="1:48" ht="12" customHeight="1">
      <c r="A63" s="52"/>
      <c r="B63" s="53"/>
      <c r="C63" s="53"/>
      <c r="D63" s="53"/>
      <c r="E63" s="53"/>
      <c r="F63" s="53"/>
      <c r="G63" s="53"/>
      <c r="H63" s="64">
        <v>61314</v>
      </c>
      <c r="I63" s="117">
        <v>61</v>
      </c>
      <c r="J63" s="118"/>
      <c r="K63" s="18" t="s">
        <v>110</v>
      </c>
      <c r="L63" s="130">
        <v>1000002</v>
      </c>
      <c r="M63" s="130">
        <f>1000002/7.5345</f>
        <v>132723.07386024288</v>
      </c>
      <c r="N63" s="131">
        <v>1291255</v>
      </c>
      <c r="O63" s="131">
        <f>N63/7.5345</f>
        <v>171378.98997942795</v>
      </c>
      <c r="P63" s="132">
        <v>240000</v>
      </c>
      <c r="Q63" s="132">
        <v>240000</v>
      </c>
      <c r="R63" s="164">
        <v>240000</v>
      </c>
      <c r="S63" s="165">
        <v>134973.64000000001</v>
      </c>
      <c r="T63" s="165"/>
      <c r="U63" s="90" t="e">
        <f ca="1">__xlfn.ISFORMULA(S63)</f>
        <v>#NAME?</v>
      </c>
      <c r="V63" s="89">
        <v>250000</v>
      </c>
      <c r="W63" s="89">
        <v>250000</v>
      </c>
      <c r="X63" s="159">
        <v>450000</v>
      </c>
      <c r="Y63" s="183">
        <v>500000</v>
      </c>
      <c r="Z63" s="183"/>
      <c r="AA63" s="183"/>
      <c r="AB63" s="183"/>
      <c r="AC63" s="178">
        <v>175000</v>
      </c>
      <c r="AD63" s="178">
        <v>175000</v>
      </c>
      <c r="AE63" s="178">
        <f>O63/M63*100</f>
        <v>129.1252417495165</v>
      </c>
      <c r="AF63" s="178">
        <f t="shared" si="41"/>
        <v>140.04050323135246</v>
      </c>
      <c r="AG63" s="178">
        <f t="shared" si="41"/>
        <v>100</v>
      </c>
      <c r="AH63" s="178">
        <f>AC63/Q63*100</f>
        <v>72.916666666666657</v>
      </c>
      <c r="AI63" s="183"/>
      <c r="AJ63" s="183">
        <v>500000</v>
      </c>
      <c r="AK63" s="171">
        <f t="shared" si="21"/>
        <v>104.16666666666667</v>
      </c>
      <c r="AL63" s="171">
        <f t="shared" si="42"/>
        <v>180</v>
      </c>
      <c r="AM63" s="171">
        <f t="shared" si="42"/>
        <v>111.11111111111111</v>
      </c>
      <c r="AN63" s="187" t="e">
        <f ca="1">__xlfn.ISFORMULA(#REF!)</f>
        <v>#NAME?</v>
      </c>
      <c r="AO63" s="199" t="e">
        <f ca="1">__xlfn.ISFORMULA(#REF!)</f>
        <v>#NAME?</v>
      </c>
      <c r="AP63" s="193" t="e">
        <f t="shared" ca="1" si="22"/>
        <v>#NAME?</v>
      </c>
      <c r="AQ63" s="200">
        <v>175974.87</v>
      </c>
      <c r="AR63" s="204">
        <f t="shared" si="24"/>
        <v>104.16666666666667</v>
      </c>
      <c r="AS63" s="204">
        <f t="shared" si="25"/>
        <v>100</v>
      </c>
      <c r="AT63" s="204">
        <f t="shared" si="26"/>
        <v>104.16666666666667</v>
      </c>
      <c r="AU63" s="204">
        <f t="shared" si="27"/>
        <v>70.389948000000004</v>
      </c>
      <c r="AV63" s="204">
        <f t="shared" si="28"/>
        <v>73.322862499999999</v>
      </c>
    </row>
    <row r="64" spans="1:48" ht="12" customHeight="1">
      <c r="A64" s="52"/>
      <c r="B64" s="53"/>
      <c r="C64" s="53"/>
      <c r="D64" s="53"/>
      <c r="E64" s="53"/>
      <c r="F64" s="53"/>
      <c r="G64" s="53"/>
      <c r="H64" s="64">
        <v>61315</v>
      </c>
      <c r="I64" s="117" t="s">
        <v>111</v>
      </c>
      <c r="J64" s="118"/>
      <c r="K64" s="18" t="s">
        <v>112</v>
      </c>
      <c r="L64" s="130">
        <v>1032627</v>
      </c>
      <c r="M64" s="130">
        <f>1032627/7.5345</f>
        <v>137053.15548477005</v>
      </c>
      <c r="N64" s="131">
        <v>1099779</v>
      </c>
      <c r="O64" s="131">
        <f>N64/7.5345</f>
        <v>145965.75751542902</v>
      </c>
      <c r="P64" s="132">
        <v>160000</v>
      </c>
      <c r="Q64" s="132">
        <v>160000</v>
      </c>
      <c r="R64" s="164">
        <v>160000</v>
      </c>
      <c r="S64" s="165">
        <v>192066.11</v>
      </c>
      <c r="T64" s="165"/>
      <c r="U64" s="90" t="e">
        <f ca="1">__xlfn.ISFORMULA(S64)</f>
        <v>#NAME?</v>
      </c>
      <c r="V64" s="89">
        <v>220000</v>
      </c>
      <c r="W64" s="89">
        <v>220000</v>
      </c>
      <c r="X64" s="159">
        <v>260000</v>
      </c>
      <c r="Y64" s="183">
        <v>350000</v>
      </c>
      <c r="Z64" s="183"/>
      <c r="AA64" s="183"/>
      <c r="AB64" s="183"/>
      <c r="AC64" s="178">
        <v>160000</v>
      </c>
      <c r="AD64" s="178">
        <v>160000</v>
      </c>
      <c r="AE64" s="178">
        <f>O64/M64*100</f>
        <v>106.50302577794307</v>
      </c>
      <c r="AF64" s="178">
        <f t="shared" si="41"/>
        <v>109.61474987247438</v>
      </c>
      <c r="AG64" s="178">
        <f t="shared" si="41"/>
        <v>100</v>
      </c>
      <c r="AH64" s="178">
        <f>AC64/Q64*100</f>
        <v>100</v>
      </c>
      <c r="AI64" s="183"/>
      <c r="AJ64" s="183">
        <v>350000</v>
      </c>
      <c r="AK64" s="171">
        <f t="shared" si="21"/>
        <v>137.5</v>
      </c>
      <c r="AL64" s="171">
        <f t="shared" si="42"/>
        <v>118.18181818181819</v>
      </c>
      <c r="AM64" s="171">
        <f t="shared" si="42"/>
        <v>134.61538461538461</v>
      </c>
      <c r="AN64" s="187" t="e">
        <f ca="1">__xlfn.ISFORMULA(#REF!)</f>
        <v>#NAME?</v>
      </c>
      <c r="AO64" s="199" t="e">
        <f ca="1">__xlfn.ISFORMULA(#REF!)</f>
        <v>#NAME?</v>
      </c>
      <c r="AP64" s="193" t="e">
        <f t="shared" ca="1" si="22"/>
        <v>#NAME?</v>
      </c>
      <c r="AQ64" s="200">
        <v>196732.67</v>
      </c>
      <c r="AR64" s="204">
        <f t="shared" si="24"/>
        <v>137.5</v>
      </c>
      <c r="AS64" s="204">
        <f t="shared" si="25"/>
        <v>100</v>
      </c>
      <c r="AT64" s="204">
        <f t="shared" si="26"/>
        <v>137.5</v>
      </c>
      <c r="AU64" s="204">
        <f t="shared" si="27"/>
        <v>89.423940909090916</v>
      </c>
      <c r="AV64" s="204">
        <f t="shared" si="28"/>
        <v>122.95791875000002</v>
      </c>
    </row>
    <row r="65" spans="1:48" ht="12" customHeight="1">
      <c r="A65" s="52"/>
      <c r="B65" s="53"/>
      <c r="C65" s="53"/>
      <c r="D65" s="53"/>
      <c r="E65" s="53"/>
      <c r="F65" s="53"/>
      <c r="G65" s="53"/>
      <c r="H65" s="64"/>
      <c r="I65" s="117"/>
      <c r="J65" s="118"/>
      <c r="K65" s="18"/>
      <c r="L65" s="130"/>
      <c r="M65" s="130"/>
      <c r="N65" s="131"/>
      <c r="O65" s="131"/>
      <c r="P65" s="132"/>
      <c r="Q65" s="132"/>
      <c r="R65" s="164"/>
      <c r="S65" s="165"/>
      <c r="T65" s="165"/>
      <c r="U65" s="90" t="e">
        <f ca="1">__xlfn.ISFORMULA(S65)</f>
        <v>#NAME?</v>
      </c>
      <c r="V65" s="89"/>
      <c r="W65" s="89"/>
      <c r="X65" s="159"/>
      <c r="Y65" s="183"/>
      <c r="Z65" s="183"/>
      <c r="AA65" s="183"/>
      <c r="AB65" s="183"/>
      <c r="AC65" s="178"/>
      <c r="AD65" s="178"/>
      <c r="AE65" s="178"/>
      <c r="AF65" s="178"/>
      <c r="AG65" s="178"/>
      <c r="AH65" s="178"/>
      <c r="AI65" s="183"/>
      <c r="AJ65" s="183"/>
      <c r="AK65" s="171"/>
      <c r="AL65" s="171"/>
      <c r="AM65" s="171"/>
      <c r="AN65" s="187" t="e">
        <f ca="1">__xlfn.ISFORMULA(#REF!)</f>
        <v>#NAME?</v>
      </c>
      <c r="AO65" s="199" t="e">
        <f ca="1">__xlfn.ISFORMULA(#REF!)</f>
        <v>#NAME?</v>
      </c>
      <c r="AP65" s="193" t="e">
        <f t="shared" ca="1" si="22"/>
        <v>#NAME?</v>
      </c>
      <c r="AQ65" s="200"/>
      <c r="AR65" s="204"/>
      <c r="AS65" s="204"/>
      <c r="AT65" s="204"/>
      <c r="AU65" s="204"/>
      <c r="AV65" s="204"/>
    </row>
    <row r="66" spans="1:48" ht="12" customHeight="1">
      <c r="A66" s="52"/>
      <c r="B66" s="53"/>
      <c r="C66" s="53"/>
      <c r="D66" s="53"/>
      <c r="E66" s="53"/>
      <c r="F66" s="53"/>
      <c r="G66" s="53"/>
      <c r="H66" s="64">
        <v>6134</v>
      </c>
      <c r="I66" s="117"/>
      <c r="J66" s="118"/>
      <c r="K66" s="18" t="s">
        <v>113</v>
      </c>
      <c r="L66" s="112">
        <f t="shared" ref="L66:Q66" si="43">L67</f>
        <v>4393582</v>
      </c>
      <c r="M66" s="112">
        <f t="shared" si="43"/>
        <v>583128.54203994956</v>
      </c>
      <c r="N66" s="113">
        <f t="shared" si="43"/>
        <v>4809091</v>
      </c>
      <c r="O66" s="113">
        <f t="shared" si="43"/>
        <v>638276.0634415024</v>
      </c>
      <c r="P66" s="114">
        <f t="shared" si="43"/>
        <v>800000</v>
      </c>
      <c r="Q66" s="114">
        <f t="shared" si="43"/>
        <v>700000</v>
      </c>
      <c r="R66" s="167">
        <v>700000</v>
      </c>
      <c r="S66" s="90">
        <f t="shared" ref="S66:Y66" si="44">S67</f>
        <v>450752.45</v>
      </c>
      <c r="T66" s="90">
        <f t="shared" si="44"/>
        <v>0</v>
      </c>
      <c r="U66" s="90" t="e">
        <f t="shared" ca="1" si="44"/>
        <v>#NAME?</v>
      </c>
      <c r="V66" s="89">
        <f t="shared" si="44"/>
        <v>850000</v>
      </c>
      <c r="W66" s="89">
        <f t="shared" si="44"/>
        <v>850000</v>
      </c>
      <c r="X66" s="88">
        <f t="shared" si="44"/>
        <v>900000</v>
      </c>
      <c r="Y66" s="171">
        <f t="shared" si="44"/>
        <v>900000</v>
      </c>
      <c r="Z66" s="171"/>
      <c r="AA66" s="171"/>
      <c r="AB66" s="171"/>
      <c r="AC66" s="172">
        <f>AC67</f>
        <v>800000</v>
      </c>
      <c r="AD66" s="172">
        <f>AD67</f>
        <v>800000</v>
      </c>
      <c r="AE66" s="178">
        <f>O66/M66*100</f>
        <v>109.45718095166997</v>
      </c>
      <c r="AF66" s="178">
        <f>P66/O66*100</f>
        <v>125.33761577811691</v>
      </c>
      <c r="AG66" s="178">
        <f>Q66/P66*100</f>
        <v>87.5</v>
      </c>
      <c r="AH66" s="178">
        <f>AC66/Q66*100</f>
        <v>114.28571428571428</v>
      </c>
      <c r="AI66" s="171"/>
      <c r="AJ66" s="171">
        <v>900000</v>
      </c>
      <c r="AK66" s="171">
        <f t="shared" si="21"/>
        <v>121.42857142857142</v>
      </c>
      <c r="AL66" s="171">
        <f>X66/W66*100</f>
        <v>105.88235294117648</v>
      </c>
      <c r="AM66" s="171">
        <f>Y66/X66*100</f>
        <v>100</v>
      </c>
      <c r="AN66" s="187" t="e">
        <f ca="1">__xlfn.ISFORMULA(#REF!)</f>
        <v>#NAME?</v>
      </c>
      <c r="AO66" s="199" t="e">
        <f ca="1">__xlfn.ISFORMULA(#REF!)</f>
        <v>#NAME?</v>
      </c>
      <c r="AP66" s="193" t="e">
        <f t="shared" ca="1" si="22"/>
        <v>#NAME?</v>
      </c>
      <c r="AQ66" s="200">
        <f>AQ67</f>
        <v>628457.05000000005</v>
      </c>
      <c r="AR66" s="204">
        <f t="shared" si="24"/>
        <v>121.42857142857142</v>
      </c>
      <c r="AS66" s="204">
        <f t="shared" si="25"/>
        <v>100</v>
      </c>
      <c r="AT66" s="204">
        <f t="shared" si="26"/>
        <v>121.42857142857142</v>
      </c>
      <c r="AU66" s="204">
        <f t="shared" si="27"/>
        <v>73.936123529411773</v>
      </c>
      <c r="AV66" s="204">
        <f t="shared" si="28"/>
        <v>89.779578571428573</v>
      </c>
    </row>
    <row r="67" spans="1:48" ht="12" customHeight="1">
      <c r="A67" s="52"/>
      <c r="B67" s="53"/>
      <c r="C67" s="53"/>
      <c r="D67" s="53"/>
      <c r="E67" s="53"/>
      <c r="F67" s="53"/>
      <c r="G67" s="53"/>
      <c r="H67" s="64">
        <v>61341</v>
      </c>
      <c r="I67" s="117" t="s">
        <v>114</v>
      </c>
      <c r="J67" s="118"/>
      <c r="K67" s="18" t="s">
        <v>115</v>
      </c>
      <c r="L67" s="130">
        <v>4393582</v>
      </c>
      <c r="M67" s="130">
        <f>4393582/7.5345</f>
        <v>583128.54203994956</v>
      </c>
      <c r="N67" s="131">
        <v>4809091</v>
      </c>
      <c r="O67" s="131">
        <f>N67/7.5345</f>
        <v>638276.0634415024</v>
      </c>
      <c r="P67" s="132">
        <v>800000</v>
      </c>
      <c r="Q67" s="163">
        <v>700000</v>
      </c>
      <c r="R67" s="164">
        <v>700000</v>
      </c>
      <c r="S67" s="165">
        <v>450752.45</v>
      </c>
      <c r="T67" s="165"/>
      <c r="U67" s="90" t="e">
        <f ca="1">__xlfn.ISFORMULA(S67)</f>
        <v>#NAME?</v>
      </c>
      <c r="V67" s="89">
        <v>850000</v>
      </c>
      <c r="W67" s="89">
        <v>850000</v>
      </c>
      <c r="X67" s="159">
        <v>900000</v>
      </c>
      <c r="Y67" s="183">
        <v>900000</v>
      </c>
      <c r="Z67" s="183"/>
      <c r="AA67" s="183"/>
      <c r="AB67" s="183"/>
      <c r="AC67" s="178">
        <v>800000</v>
      </c>
      <c r="AD67" s="178">
        <v>800000</v>
      </c>
      <c r="AE67" s="178">
        <f>O67/M67*100</f>
        <v>109.45718095166997</v>
      </c>
      <c r="AF67" s="178">
        <f>P67/O67*100</f>
        <v>125.33761577811691</v>
      </c>
      <c r="AG67" s="178">
        <f>Q67/P67*100</f>
        <v>87.5</v>
      </c>
      <c r="AH67" s="178">
        <f>AC67/Q67*100</f>
        <v>114.28571428571428</v>
      </c>
      <c r="AI67" s="183"/>
      <c r="AJ67" s="183">
        <v>900000</v>
      </c>
      <c r="AK67" s="171">
        <f t="shared" si="21"/>
        <v>121.42857142857142</v>
      </c>
      <c r="AL67" s="171">
        <f>X67/W67*100</f>
        <v>105.88235294117648</v>
      </c>
      <c r="AM67" s="171">
        <f>Y67/X67*100</f>
        <v>100</v>
      </c>
      <c r="AN67" s="187" t="e">
        <f ca="1">__xlfn.ISFORMULA(#REF!)</f>
        <v>#NAME?</v>
      </c>
      <c r="AO67" s="199" t="e">
        <f ca="1">__xlfn.ISFORMULA(#REF!)</f>
        <v>#NAME?</v>
      </c>
      <c r="AP67" s="193" t="e">
        <f t="shared" ca="1" si="22"/>
        <v>#NAME?</v>
      </c>
      <c r="AQ67" s="200">
        <v>628457.05000000005</v>
      </c>
      <c r="AR67" s="204">
        <f t="shared" si="24"/>
        <v>121.42857142857142</v>
      </c>
      <c r="AS67" s="204">
        <f t="shared" si="25"/>
        <v>100</v>
      </c>
      <c r="AT67" s="204">
        <f t="shared" si="26"/>
        <v>121.42857142857142</v>
      </c>
      <c r="AU67" s="204">
        <f t="shared" si="27"/>
        <v>73.936123529411773</v>
      </c>
      <c r="AV67" s="204">
        <f t="shared" si="28"/>
        <v>89.779578571428573</v>
      </c>
    </row>
    <row r="68" spans="1:48" ht="12" customHeight="1">
      <c r="A68" s="52"/>
      <c r="B68" s="53"/>
      <c r="C68" s="53"/>
      <c r="D68" s="53"/>
      <c r="E68" s="53"/>
      <c r="F68" s="53"/>
      <c r="G68" s="53"/>
      <c r="H68" s="64"/>
      <c r="I68" s="117"/>
      <c r="J68" s="118"/>
      <c r="K68" s="18"/>
      <c r="L68" s="119"/>
      <c r="M68" s="119"/>
      <c r="N68" s="120"/>
      <c r="O68" s="120"/>
      <c r="P68" s="121"/>
      <c r="Q68" s="121"/>
      <c r="R68" s="220"/>
      <c r="S68" s="158"/>
      <c r="T68" s="158"/>
      <c r="U68" s="90" t="e">
        <f ca="1">__xlfn.ISFORMULA(S68)</f>
        <v>#NAME?</v>
      </c>
      <c r="V68" s="89"/>
      <c r="W68" s="89"/>
      <c r="X68" s="159"/>
      <c r="Y68" s="179"/>
      <c r="Z68" s="179"/>
      <c r="AA68" s="179"/>
      <c r="AB68" s="179"/>
      <c r="AC68" s="180"/>
      <c r="AD68" s="180"/>
      <c r="AE68" s="178"/>
      <c r="AF68" s="178"/>
      <c r="AG68" s="178"/>
      <c r="AH68" s="178"/>
      <c r="AI68" s="179"/>
      <c r="AJ68" s="179"/>
      <c r="AK68" s="171"/>
      <c r="AL68" s="171"/>
      <c r="AM68" s="171"/>
      <c r="AN68" s="187" t="e">
        <f ca="1">__xlfn.ISFORMULA(#REF!)</f>
        <v>#NAME?</v>
      </c>
      <c r="AO68" s="199" t="e">
        <f ca="1">__xlfn.ISFORMULA(#REF!)</f>
        <v>#NAME?</v>
      </c>
      <c r="AP68" s="193" t="e">
        <f t="shared" ca="1" si="22"/>
        <v>#NAME?</v>
      </c>
      <c r="AQ68" s="200"/>
      <c r="AR68" s="204"/>
      <c r="AS68" s="204"/>
      <c r="AT68" s="204"/>
      <c r="AU68" s="204"/>
      <c r="AV68" s="204"/>
    </row>
    <row r="69" spans="1:48" ht="12" customHeight="1">
      <c r="A69" s="61"/>
      <c r="B69" s="62"/>
      <c r="C69" s="62"/>
      <c r="D69" s="62"/>
      <c r="E69" s="62"/>
      <c r="F69" s="62"/>
      <c r="G69" s="62"/>
      <c r="H69" s="63">
        <v>614</v>
      </c>
      <c r="I69" s="128"/>
      <c r="J69" s="129"/>
      <c r="K69" s="19" t="s">
        <v>116</v>
      </c>
      <c r="L69" s="112">
        <f t="shared" ref="L69:Q69" si="45">L71+L74</f>
        <v>336678</v>
      </c>
      <c r="M69" s="112">
        <f t="shared" si="45"/>
        <v>44684.849691419469</v>
      </c>
      <c r="N69" s="113">
        <f t="shared" si="45"/>
        <v>518273</v>
      </c>
      <c r="O69" s="113">
        <f t="shared" si="45"/>
        <v>68786.648085473484</v>
      </c>
      <c r="P69" s="114">
        <f t="shared" si="45"/>
        <v>75000</v>
      </c>
      <c r="Q69" s="114">
        <f t="shared" si="45"/>
        <v>90000</v>
      </c>
      <c r="R69" s="167">
        <v>90000</v>
      </c>
      <c r="S69" s="90">
        <f t="shared" ref="S69:Y69" si="46">S71+S74</f>
        <v>61424</v>
      </c>
      <c r="T69" s="90">
        <f t="shared" si="46"/>
        <v>0</v>
      </c>
      <c r="U69" s="90" t="e">
        <f t="shared" ca="1" si="46"/>
        <v>#NAME?</v>
      </c>
      <c r="V69" s="89">
        <f t="shared" si="46"/>
        <v>100000</v>
      </c>
      <c r="W69" s="89">
        <f t="shared" si="46"/>
        <v>100000</v>
      </c>
      <c r="X69" s="88">
        <f t="shared" si="46"/>
        <v>120000</v>
      </c>
      <c r="Y69" s="171">
        <f t="shared" si="46"/>
        <v>150000</v>
      </c>
      <c r="Z69" s="171"/>
      <c r="AA69" s="171"/>
      <c r="AB69" s="171"/>
      <c r="AC69" s="172">
        <f>AC71+AC74</f>
        <v>75000</v>
      </c>
      <c r="AD69" s="172">
        <f>AD71+AD74</f>
        <v>75000</v>
      </c>
      <c r="AE69" s="178">
        <f>O69/M69*100</f>
        <v>153.93729320003089</v>
      </c>
      <c r="AF69" s="178">
        <f>P69/O69*100</f>
        <v>109.03278773928027</v>
      </c>
      <c r="AG69" s="178">
        <f>Q69/P69*100</f>
        <v>120</v>
      </c>
      <c r="AH69" s="178">
        <f>AC69/Q69*100</f>
        <v>83.333333333333343</v>
      </c>
      <c r="AI69" s="171"/>
      <c r="AJ69" s="171">
        <v>150000</v>
      </c>
      <c r="AK69" s="171">
        <f t="shared" si="21"/>
        <v>111.11111111111111</v>
      </c>
      <c r="AL69" s="171">
        <f>X69/W69*100</f>
        <v>120</v>
      </c>
      <c r="AM69" s="171">
        <f>Y69/X69*100</f>
        <v>125</v>
      </c>
      <c r="AN69" s="187" t="e">
        <f ca="1">__xlfn.ISFORMULA(#REF!)</f>
        <v>#NAME?</v>
      </c>
      <c r="AO69" s="199" t="e">
        <f ca="1">__xlfn.ISFORMULA(#REF!)</f>
        <v>#NAME?</v>
      </c>
      <c r="AP69" s="193" t="e">
        <f t="shared" ca="1" si="22"/>
        <v>#NAME?</v>
      </c>
      <c r="AQ69" s="200">
        <f>AQ71+AQ74</f>
        <v>91531.25</v>
      </c>
      <c r="AR69" s="204">
        <f t="shared" si="24"/>
        <v>111.11111111111111</v>
      </c>
      <c r="AS69" s="204">
        <f t="shared" si="25"/>
        <v>100</v>
      </c>
      <c r="AT69" s="204">
        <f t="shared" si="26"/>
        <v>111.11111111111111</v>
      </c>
      <c r="AU69" s="204">
        <f t="shared" si="27"/>
        <v>91.53125</v>
      </c>
      <c r="AV69" s="204">
        <f t="shared" si="28"/>
        <v>101.70138888888889</v>
      </c>
    </row>
    <row r="70" spans="1:48" ht="12" customHeight="1">
      <c r="A70" s="52"/>
      <c r="B70" s="53"/>
      <c r="C70" s="53"/>
      <c r="D70" s="53"/>
      <c r="E70" s="53"/>
      <c r="F70" s="53"/>
      <c r="G70" s="53"/>
      <c r="H70" s="64"/>
      <c r="I70" s="117"/>
      <c r="J70" s="118"/>
      <c r="K70" s="18"/>
      <c r="L70" s="112"/>
      <c r="M70" s="112"/>
      <c r="N70" s="113"/>
      <c r="O70" s="113"/>
      <c r="P70" s="114"/>
      <c r="Q70" s="114"/>
      <c r="R70" s="167"/>
      <c r="S70" s="90"/>
      <c r="T70" s="90"/>
      <c r="U70" s="90"/>
      <c r="V70" s="89"/>
      <c r="W70" s="89"/>
      <c r="X70" s="88"/>
      <c r="Y70" s="171"/>
      <c r="Z70" s="171"/>
      <c r="AA70" s="171"/>
      <c r="AB70" s="171"/>
      <c r="AC70" s="172"/>
      <c r="AD70" s="172"/>
      <c r="AE70" s="178"/>
      <c r="AF70" s="178"/>
      <c r="AG70" s="178"/>
      <c r="AH70" s="178"/>
      <c r="AI70" s="171"/>
      <c r="AJ70" s="171"/>
      <c r="AK70" s="171"/>
      <c r="AL70" s="171"/>
      <c r="AM70" s="171"/>
      <c r="AN70" s="187" t="e">
        <f ca="1">__xlfn.ISFORMULA(#REF!)</f>
        <v>#NAME?</v>
      </c>
      <c r="AO70" s="199" t="e">
        <f ca="1">__xlfn.ISFORMULA(#REF!)</f>
        <v>#NAME?</v>
      </c>
      <c r="AP70" s="193" t="e">
        <f t="shared" ca="1" si="22"/>
        <v>#NAME?</v>
      </c>
      <c r="AQ70" s="200"/>
      <c r="AR70" s="204"/>
      <c r="AS70" s="204"/>
      <c r="AT70" s="204"/>
      <c r="AU70" s="204"/>
      <c r="AV70" s="204"/>
    </row>
    <row r="71" spans="1:48" ht="12" customHeight="1">
      <c r="A71" s="52"/>
      <c r="B71" s="53"/>
      <c r="C71" s="53"/>
      <c r="D71" s="53"/>
      <c r="E71" s="53"/>
      <c r="F71" s="53"/>
      <c r="G71" s="53"/>
      <c r="H71" s="64">
        <v>6142</v>
      </c>
      <c r="I71" s="117"/>
      <c r="J71" s="118"/>
      <c r="K71" s="18" t="s">
        <v>117</v>
      </c>
      <c r="L71" s="112">
        <f t="shared" ref="L71:Q71" si="47">L72</f>
        <v>336678</v>
      </c>
      <c r="M71" s="112">
        <f t="shared" si="47"/>
        <v>44684.849691419469</v>
      </c>
      <c r="N71" s="113">
        <f t="shared" si="47"/>
        <v>518273</v>
      </c>
      <c r="O71" s="113">
        <f t="shared" si="47"/>
        <v>68786.648085473484</v>
      </c>
      <c r="P71" s="114">
        <f t="shared" si="47"/>
        <v>75000</v>
      </c>
      <c r="Q71" s="114">
        <f t="shared" si="47"/>
        <v>90000</v>
      </c>
      <c r="R71" s="167">
        <v>90000</v>
      </c>
      <c r="S71" s="90">
        <f t="shared" ref="S71:Y71" si="48">S72</f>
        <v>61424</v>
      </c>
      <c r="T71" s="90">
        <f t="shared" si="48"/>
        <v>0</v>
      </c>
      <c r="U71" s="90" t="e">
        <f t="shared" ca="1" si="48"/>
        <v>#NAME?</v>
      </c>
      <c r="V71" s="89">
        <f t="shared" si="48"/>
        <v>100000</v>
      </c>
      <c r="W71" s="89">
        <f t="shared" si="48"/>
        <v>100000</v>
      </c>
      <c r="X71" s="88">
        <f t="shared" si="48"/>
        <v>120000</v>
      </c>
      <c r="Y71" s="171">
        <f t="shared" si="48"/>
        <v>150000</v>
      </c>
      <c r="Z71" s="171"/>
      <c r="AA71" s="171"/>
      <c r="AB71" s="171"/>
      <c r="AC71" s="172">
        <f>AC72</f>
        <v>75000</v>
      </c>
      <c r="AD71" s="172">
        <f>AD72</f>
        <v>75000</v>
      </c>
      <c r="AE71" s="178">
        <f>O71/M71*100</f>
        <v>153.93729320003089</v>
      </c>
      <c r="AF71" s="178">
        <f>P71/O71*100</f>
        <v>109.03278773928027</v>
      </c>
      <c r="AG71" s="178">
        <f>Q71/P71*100</f>
        <v>120</v>
      </c>
      <c r="AH71" s="178">
        <f>AC71/Q71*100</f>
        <v>83.333333333333343</v>
      </c>
      <c r="AI71" s="171"/>
      <c r="AJ71" s="171">
        <v>150000</v>
      </c>
      <c r="AK71" s="171">
        <f t="shared" si="21"/>
        <v>111.11111111111111</v>
      </c>
      <c r="AL71" s="171">
        <f>X71/W71*100</f>
        <v>120</v>
      </c>
      <c r="AM71" s="171">
        <f>Y71/X71*100</f>
        <v>125</v>
      </c>
      <c r="AN71" s="187" t="e">
        <f ca="1">__xlfn.ISFORMULA(#REF!)</f>
        <v>#NAME?</v>
      </c>
      <c r="AO71" s="199" t="e">
        <f ca="1">__xlfn.ISFORMULA(#REF!)</f>
        <v>#NAME?</v>
      </c>
      <c r="AP71" s="193" t="e">
        <f t="shared" ca="1" si="22"/>
        <v>#NAME?</v>
      </c>
      <c r="AQ71" s="200">
        <f>AQ72</f>
        <v>91531.25</v>
      </c>
      <c r="AR71" s="204">
        <f t="shared" si="24"/>
        <v>111.11111111111111</v>
      </c>
      <c r="AS71" s="204">
        <f t="shared" si="25"/>
        <v>100</v>
      </c>
      <c r="AT71" s="204">
        <f t="shared" si="26"/>
        <v>111.11111111111111</v>
      </c>
      <c r="AU71" s="204">
        <f t="shared" si="27"/>
        <v>91.53125</v>
      </c>
      <c r="AV71" s="204">
        <f t="shared" si="28"/>
        <v>101.70138888888889</v>
      </c>
    </row>
    <row r="72" spans="1:48" ht="12" customHeight="1">
      <c r="A72" s="52"/>
      <c r="B72" s="53"/>
      <c r="C72" s="53"/>
      <c r="D72" s="53"/>
      <c r="E72" s="53"/>
      <c r="F72" s="53"/>
      <c r="G72" s="53"/>
      <c r="H72" s="64">
        <v>61424</v>
      </c>
      <c r="I72" s="117" t="s">
        <v>118</v>
      </c>
      <c r="J72" s="118"/>
      <c r="K72" s="18" t="s">
        <v>119</v>
      </c>
      <c r="L72" s="130">
        <v>336678</v>
      </c>
      <c r="M72" s="130">
        <f>336678/7.5345</f>
        <v>44684.849691419469</v>
      </c>
      <c r="N72" s="131">
        <v>518273</v>
      </c>
      <c r="O72" s="131">
        <f>N72/7.5345</f>
        <v>68786.648085473484</v>
      </c>
      <c r="P72" s="132">
        <v>75000</v>
      </c>
      <c r="Q72" s="163">
        <v>90000</v>
      </c>
      <c r="R72" s="164">
        <v>90000</v>
      </c>
      <c r="S72" s="165">
        <v>61424</v>
      </c>
      <c r="T72" s="165"/>
      <c r="U72" s="90" t="e">
        <f ca="1">__xlfn.ISFORMULA(S72)</f>
        <v>#NAME?</v>
      </c>
      <c r="V72" s="89">
        <v>100000</v>
      </c>
      <c r="W72" s="89">
        <v>100000</v>
      </c>
      <c r="X72" s="159">
        <v>120000</v>
      </c>
      <c r="Y72" s="183">
        <v>150000</v>
      </c>
      <c r="Z72" s="183"/>
      <c r="AA72" s="183"/>
      <c r="AB72" s="183"/>
      <c r="AC72" s="178">
        <v>75000</v>
      </c>
      <c r="AD72" s="178">
        <v>75000</v>
      </c>
      <c r="AE72" s="178">
        <f>O72/M72*100</f>
        <v>153.93729320003089</v>
      </c>
      <c r="AF72" s="178">
        <f>P72/O72*100</f>
        <v>109.03278773928027</v>
      </c>
      <c r="AG72" s="178">
        <f>Q72/P72*100</f>
        <v>120</v>
      </c>
      <c r="AH72" s="178">
        <f>AC72/Q72*100</f>
        <v>83.333333333333343</v>
      </c>
      <c r="AI72" s="183"/>
      <c r="AJ72" s="183">
        <v>150000</v>
      </c>
      <c r="AK72" s="171">
        <f t="shared" si="21"/>
        <v>111.11111111111111</v>
      </c>
      <c r="AL72" s="171">
        <f>X72/W72*100</f>
        <v>120</v>
      </c>
      <c r="AM72" s="171">
        <f>Y72/X72*100</f>
        <v>125</v>
      </c>
      <c r="AN72" s="187" t="e">
        <f ca="1">__xlfn.ISFORMULA(#REF!)</f>
        <v>#NAME?</v>
      </c>
      <c r="AO72" s="199" t="e">
        <f ca="1">__xlfn.ISFORMULA(#REF!)</f>
        <v>#NAME?</v>
      </c>
      <c r="AP72" s="193" t="e">
        <f t="shared" ca="1" si="22"/>
        <v>#NAME?</v>
      </c>
      <c r="AQ72" s="200">
        <v>91531.25</v>
      </c>
      <c r="AR72" s="204">
        <f t="shared" si="24"/>
        <v>111.11111111111111</v>
      </c>
      <c r="AS72" s="204">
        <f t="shared" si="25"/>
        <v>100</v>
      </c>
      <c r="AT72" s="204">
        <f t="shared" si="26"/>
        <v>111.11111111111111</v>
      </c>
      <c r="AU72" s="204">
        <f t="shared" si="27"/>
        <v>91.53125</v>
      </c>
      <c r="AV72" s="204">
        <f t="shared" si="28"/>
        <v>101.70138888888889</v>
      </c>
    </row>
    <row r="73" spans="1:48" ht="12" customHeight="1">
      <c r="A73" s="52"/>
      <c r="B73" s="53"/>
      <c r="C73" s="53"/>
      <c r="D73" s="53"/>
      <c r="E73" s="53"/>
      <c r="F73" s="53"/>
      <c r="G73" s="53"/>
      <c r="H73" s="64"/>
      <c r="I73" s="117"/>
      <c r="J73" s="118"/>
      <c r="K73" s="18"/>
      <c r="L73" s="119"/>
      <c r="M73" s="119"/>
      <c r="N73" s="120"/>
      <c r="O73" s="120"/>
      <c r="P73" s="121"/>
      <c r="Q73" s="121"/>
      <c r="R73" s="220"/>
      <c r="S73" s="158"/>
      <c r="T73" s="158"/>
      <c r="U73" s="90" t="e">
        <f ca="1">__xlfn.ISFORMULA(S73)</f>
        <v>#NAME?</v>
      </c>
      <c r="V73" s="89"/>
      <c r="W73" s="89"/>
      <c r="X73" s="159"/>
      <c r="Y73" s="179"/>
      <c r="Z73" s="179"/>
      <c r="AA73" s="179"/>
      <c r="AB73" s="179"/>
      <c r="AC73" s="180"/>
      <c r="AD73" s="180"/>
      <c r="AE73" s="178"/>
      <c r="AF73" s="178"/>
      <c r="AG73" s="178"/>
      <c r="AH73" s="178"/>
      <c r="AI73" s="179"/>
      <c r="AJ73" s="179"/>
      <c r="AK73" s="171"/>
      <c r="AL73" s="171"/>
      <c r="AM73" s="171"/>
      <c r="AN73" s="187" t="e">
        <f ca="1">__xlfn.ISFORMULA(#REF!)</f>
        <v>#NAME?</v>
      </c>
      <c r="AO73" s="199" t="e">
        <f ca="1">__xlfn.ISFORMULA(#REF!)</f>
        <v>#NAME?</v>
      </c>
      <c r="AP73" s="193" t="e">
        <f t="shared" ca="1" si="22"/>
        <v>#NAME?</v>
      </c>
      <c r="AQ73" s="200"/>
      <c r="AR73" s="204"/>
      <c r="AS73" s="204"/>
      <c r="AT73" s="204"/>
      <c r="AU73" s="204"/>
      <c r="AV73" s="204"/>
    </row>
    <row r="74" spans="1:48" ht="12" customHeight="1">
      <c r="A74" s="52"/>
      <c r="B74" s="53"/>
      <c r="C74" s="53"/>
      <c r="D74" s="53"/>
      <c r="E74" s="53"/>
      <c r="F74" s="53"/>
      <c r="G74" s="53"/>
      <c r="H74" s="64">
        <v>6145</v>
      </c>
      <c r="I74" s="117"/>
      <c r="J74" s="118"/>
      <c r="K74" s="18" t="s">
        <v>120</v>
      </c>
      <c r="L74" s="112">
        <f t="shared" ref="L74:Q74" si="49">L75</f>
        <v>0</v>
      </c>
      <c r="M74" s="112">
        <f t="shared" si="49"/>
        <v>0</v>
      </c>
      <c r="N74" s="113">
        <f t="shared" si="49"/>
        <v>0</v>
      </c>
      <c r="O74" s="113">
        <f t="shared" si="49"/>
        <v>0</v>
      </c>
      <c r="P74" s="114">
        <f t="shared" si="49"/>
        <v>0</v>
      </c>
      <c r="Q74" s="114">
        <f t="shared" si="49"/>
        <v>0</v>
      </c>
      <c r="R74" s="167">
        <v>0</v>
      </c>
      <c r="S74" s="90"/>
      <c r="T74" s="90"/>
      <c r="U74" s="90" t="e">
        <f ca="1">__xlfn.ISFORMULA(S74)</f>
        <v>#NAME?</v>
      </c>
      <c r="V74" s="89"/>
      <c r="W74" s="89"/>
      <c r="X74" s="88"/>
      <c r="Y74" s="171"/>
      <c r="Z74" s="171"/>
      <c r="AA74" s="171"/>
      <c r="AB74" s="171"/>
      <c r="AC74" s="172">
        <f>AC75</f>
        <v>0</v>
      </c>
      <c r="AD74" s="172">
        <f>AD75</f>
        <v>0</v>
      </c>
      <c r="AE74" s="178"/>
      <c r="AF74" s="178"/>
      <c r="AG74" s="178"/>
      <c r="AH74" s="178"/>
      <c r="AI74" s="171"/>
      <c r="AJ74" s="171"/>
      <c r="AK74" s="171"/>
      <c r="AL74" s="171"/>
      <c r="AM74" s="171"/>
      <c r="AN74" s="187" t="e">
        <f ca="1">__xlfn.ISFORMULA(#REF!)</f>
        <v>#NAME?</v>
      </c>
      <c r="AO74" s="199" t="e">
        <f ca="1">__xlfn.ISFORMULA(#REF!)</f>
        <v>#NAME?</v>
      </c>
      <c r="AP74" s="193" t="e">
        <f t="shared" ca="1" si="22"/>
        <v>#NAME?</v>
      </c>
      <c r="AQ74" s="200"/>
      <c r="AR74" s="204"/>
      <c r="AS74" s="204"/>
      <c r="AT74" s="204"/>
      <c r="AU74" s="204"/>
      <c r="AV74" s="204"/>
    </row>
    <row r="75" spans="1:48" ht="12" customHeight="1">
      <c r="A75" s="52"/>
      <c r="B75" s="53"/>
      <c r="C75" s="53"/>
      <c r="D75" s="53"/>
      <c r="E75" s="53"/>
      <c r="F75" s="53"/>
      <c r="G75" s="53"/>
      <c r="H75" s="64">
        <v>61453</v>
      </c>
      <c r="I75" s="117"/>
      <c r="J75" s="118"/>
      <c r="K75" s="18" t="s">
        <v>121</v>
      </c>
      <c r="L75" s="130">
        <v>0</v>
      </c>
      <c r="M75" s="130">
        <v>0</v>
      </c>
      <c r="N75" s="131">
        <v>0</v>
      </c>
      <c r="O75" s="131">
        <v>0</v>
      </c>
      <c r="P75" s="132">
        <v>0</v>
      </c>
      <c r="Q75" s="132">
        <v>0</v>
      </c>
      <c r="R75" s="164">
        <v>0</v>
      </c>
      <c r="S75" s="165"/>
      <c r="T75" s="165"/>
      <c r="U75" s="90" t="e">
        <f ca="1">__xlfn.ISFORMULA(S75)</f>
        <v>#NAME?</v>
      </c>
      <c r="V75" s="89"/>
      <c r="W75" s="89"/>
      <c r="X75" s="159"/>
      <c r="Y75" s="183"/>
      <c r="Z75" s="183"/>
      <c r="AA75" s="183"/>
      <c r="AB75" s="183"/>
      <c r="AC75" s="178">
        <v>0</v>
      </c>
      <c r="AD75" s="178">
        <v>0</v>
      </c>
      <c r="AE75" s="178"/>
      <c r="AF75" s="178"/>
      <c r="AG75" s="178"/>
      <c r="AH75" s="178"/>
      <c r="AI75" s="183"/>
      <c r="AJ75" s="183"/>
      <c r="AK75" s="171"/>
      <c r="AL75" s="171"/>
      <c r="AM75" s="171"/>
      <c r="AN75" s="187" t="e">
        <f ca="1">__xlfn.ISFORMULA(#REF!)</f>
        <v>#NAME?</v>
      </c>
      <c r="AO75" s="199" t="e">
        <f ca="1">__xlfn.ISFORMULA(#REF!)</f>
        <v>#NAME?</v>
      </c>
      <c r="AP75" s="193" t="e">
        <f t="shared" ca="1" si="22"/>
        <v>#NAME?</v>
      </c>
      <c r="AQ75" s="200"/>
      <c r="AR75" s="204"/>
      <c r="AS75" s="204"/>
      <c r="AT75" s="204"/>
      <c r="AU75" s="204"/>
      <c r="AV75" s="204"/>
    </row>
    <row r="76" spans="1:48" ht="12" customHeight="1">
      <c r="A76" s="52"/>
      <c r="B76" s="53"/>
      <c r="C76" s="53"/>
      <c r="D76" s="53"/>
      <c r="E76" s="53"/>
      <c r="F76" s="53"/>
      <c r="G76" s="53"/>
      <c r="H76" s="64"/>
      <c r="I76" s="117"/>
      <c r="J76" s="118"/>
      <c r="K76" s="18"/>
      <c r="L76" s="130"/>
      <c r="M76" s="130"/>
      <c r="N76" s="131"/>
      <c r="O76" s="131"/>
      <c r="P76" s="132"/>
      <c r="Q76" s="132"/>
      <c r="R76" s="164"/>
      <c r="S76" s="90"/>
      <c r="T76" s="90"/>
      <c r="U76" s="90" t="e">
        <f ca="1">__xlfn.ISFORMULA(S76)</f>
        <v>#NAME?</v>
      </c>
      <c r="V76" s="89"/>
      <c r="W76" s="89"/>
      <c r="X76" s="159"/>
      <c r="Y76" s="183"/>
      <c r="Z76" s="171"/>
      <c r="AA76" s="171"/>
      <c r="AB76" s="171"/>
      <c r="AC76" s="178"/>
      <c r="AD76" s="178"/>
      <c r="AE76" s="178"/>
      <c r="AF76" s="178"/>
      <c r="AG76" s="178"/>
      <c r="AH76" s="178"/>
      <c r="AI76" s="171"/>
      <c r="AJ76" s="183"/>
      <c r="AK76" s="171"/>
      <c r="AL76" s="171"/>
      <c r="AM76" s="171"/>
      <c r="AN76" s="187" t="e">
        <f ca="1">__xlfn.ISFORMULA(#REF!)</f>
        <v>#NAME?</v>
      </c>
      <c r="AO76" s="199" t="e">
        <f ca="1">__xlfn.ISFORMULA(#REF!)</f>
        <v>#NAME?</v>
      </c>
      <c r="AP76" s="193" t="e">
        <f t="shared" ca="1" si="22"/>
        <v>#NAME?</v>
      </c>
      <c r="AQ76" s="200"/>
      <c r="AR76" s="204"/>
      <c r="AS76" s="204"/>
      <c r="AT76" s="204"/>
      <c r="AU76" s="204"/>
      <c r="AV76" s="204"/>
    </row>
    <row r="77" spans="1:48" ht="12" customHeight="1">
      <c r="A77" s="58"/>
      <c r="B77" s="59"/>
      <c r="C77" s="59"/>
      <c r="D77" s="59"/>
      <c r="E77" s="59"/>
      <c r="F77" s="59"/>
      <c r="G77" s="59"/>
      <c r="H77" s="60">
        <v>63</v>
      </c>
      <c r="I77" s="125"/>
      <c r="J77" s="126"/>
      <c r="K77" s="127" t="s">
        <v>122</v>
      </c>
      <c r="L77" s="112">
        <f t="shared" ref="L77:Q77" si="50">L79+L91+L94</f>
        <v>6168546</v>
      </c>
      <c r="M77" s="112">
        <f t="shared" si="50"/>
        <v>818706.74895480787</v>
      </c>
      <c r="N77" s="113">
        <f t="shared" si="50"/>
        <v>2956331</v>
      </c>
      <c r="O77" s="113">
        <f t="shared" si="50"/>
        <v>392372.55292321986</v>
      </c>
      <c r="P77" s="114">
        <f t="shared" si="50"/>
        <v>984250</v>
      </c>
      <c r="Q77" s="114">
        <f t="shared" si="50"/>
        <v>572700</v>
      </c>
      <c r="R77" s="167">
        <v>572700</v>
      </c>
      <c r="S77" s="90">
        <f t="shared" ref="S77:Y77" si="51">S79+S91+S94</f>
        <v>419091.94</v>
      </c>
      <c r="T77" s="90">
        <f t="shared" si="51"/>
        <v>0</v>
      </c>
      <c r="U77" s="90" t="e">
        <f t="shared" ca="1" si="51"/>
        <v>#NAME?</v>
      </c>
      <c r="V77" s="89">
        <f t="shared" si="51"/>
        <v>754970</v>
      </c>
      <c r="W77" s="89">
        <f t="shared" si="51"/>
        <v>754970</v>
      </c>
      <c r="X77" s="88">
        <f t="shared" si="51"/>
        <v>934000</v>
      </c>
      <c r="Y77" s="171">
        <f t="shared" si="51"/>
        <v>885000</v>
      </c>
      <c r="Z77" s="171"/>
      <c r="AA77" s="171"/>
      <c r="AB77" s="171"/>
      <c r="AC77" s="172">
        <f>AC79+AC91+AC94</f>
        <v>150000</v>
      </c>
      <c r="AD77" s="172">
        <f>AD79+AD91+AD94</f>
        <v>150000</v>
      </c>
      <c r="AE77" s="178">
        <f>O77/M77*100</f>
        <v>47.925896961779976</v>
      </c>
      <c r="AF77" s="178">
        <f>P77/O77*100</f>
        <v>250.84578232275075</v>
      </c>
      <c r="AG77" s="178">
        <f>Q77/P77*100</f>
        <v>58.186436372872741</v>
      </c>
      <c r="AH77" s="178">
        <f>AC77/Q77*100</f>
        <v>26.191723415400737</v>
      </c>
      <c r="AI77" s="171"/>
      <c r="AJ77" s="171">
        <v>885000</v>
      </c>
      <c r="AK77" s="171">
        <f t="shared" si="21"/>
        <v>131.8264361795006</v>
      </c>
      <c r="AL77" s="171">
        <f>X77/W77*100</f>
        <v>123.7135250407301</v>
      </c>
      <c r="AM77" s="171">
        <f>Y77/X77*100</f>
        <v>94.753747323340477</v>
      </c>
      <c r="AN77" s="187" t="e">
        <f ca="1">__xlfn.ISFORMULA(#REF!)</f>
        <v>#NAME?</v>
      </c>
      <c r="AO77" s="199" t="e">
        <f ca="1">__xlfn.ISFORMULA(#REF!)</f>
        <v>#NAME?</v>
      </c>
      <c r="AP77" s="193" t="e">
        <f t="shared" ca="1" si="22"/>
        <v>#NAME?</v>
      </c>
      <c r="AQ77" s="200">
        <f>AQ79+AQ91+AQ94</f>
        <v>825611.49</v>
      </c>
      <c r="AR77" s="204">
        <f t="shared" si="24"/>
        <v>131.8264361795006</v>
      </c>
      <c r="AS77" s="204">
        <f t="shared" si="25"/>
        <v>100</v>
      </c>
      <c r="AT77" s="204">
        <f t="shared" si="26"/>
        <v>131.8264361795006</v>
      </c>
      <c r="AU77" s="204">
        <f t="shared" si="27"/>
        <v>109.3568605375048</v>
      </c>
      <c r="AV77" s="204">
        <f t="shared" si="28"/>
        <v>144.16125196437926</v>
      </c>
    </row>
    <row r="78" spans="1:48" ht="12" customHeight="1">
      <c r="A78" s="205"/>
      <c r="B78" s="206"/>
      <c r="C78" s="206"/>
      <c r="D78" s="206"/>
      <c r="E78" s="206"/>
      <c r="F78" s="206"/>
      <c r="G78" s="206"/>
      <c r="H78" s="207"/>
      <c r="I78" s="212"/>
      <c r="J78" s="213"/>
      <c r="K78" s="214"/>
      <c r="L78" s="112"/>
      <c r="M78" s="112"/>
      <c r="N78" s="113"/>
      <c r="O78" s="113"/>
      <c r="P78" s="114"/>
      <c r="Q78" s="114"/>
      <c r="R78" s="167"/>
      <c r="S78" s="90"/>
      <c r="T78" s="90"/>
      <c r="U78" s="90"/>
      <c r="V78" s="89"/>
      <c r="W78" s="89"/>
      <c r="X78" s="88"/>
      <c r="Y78" s="171"/>
      <c r="Z78" s="171"/>
      <c r="AA78" s="171"/>
      <c r="AB78" s="171"/>
      <c r="AC78" s="172"/>
      <c r="AD78" s="172"/>
      <c r="AE78" s="178"/>
      <c r="AF78" s="178"/>
      <c r="AG78" s="178"/>
      <c r="AH78" s="178"/>
      <c r="AI78" s="171"/>
      <c r="AJ78" s="171"/>
      <c r="AK78" s="171"/>
      <c r="AL78" s="171"/>
      <c r="AM78" s="171"/>
      <c r="AN78" s="187" t="e">
        <f ca="1">__xlfn.ISFORMULA(#REF!)</f>
        <v>#NAME?</v>
      </c>
      <c r="AO78" s="199" t="e">
        <f ca="1">__xlfn.ISFORMULA(#REF!)</f>
        <v>#NAME?</v>
      </c>
      <c r="AP78" s="193" t="e">
        <f t="shared" ca="1" si="22"/>
        <v>#NAME?</v>
      </c>
      <c r="AQ78" s="200"/>
      <c r="AR78" s="204"/>
      <c r="AS78" s="204"/>
      <c r="AT78" s="204"/>
      <c r="AU78" s="204"/>
      <c r="AV78" s="204"/>
    </row>
    <row r="79" spans="1:48" ht="12" customHeight="1">
      <c r="A79" s="61"/>
      <c r="B79" s="62"/>
      <c r="C79" s="62"/>
      <c r="D79" s="62"/>
      <c r="E79" s="62"/>
      <c r="F79" s="62"/>
      <c r="G79" s="62"/>
      <c r="H79" s="63">
        <v>633</v>
      </c>
      <c r="I79" s="128"/>
      <c r="J79" s="129"/>
      <c r="K79" s="19" t="s">
        <v>123</v>
      </c>
      <c r="L79" s="112">
        <f t="shared" ref="L79:Q79" si="52">L81+L85</f>
        <v>3711855</v>
      </c>
      <c r="M79" s="112">
        <f t="shared" si="52"/>
        <v>492647.82002787181</v>
      </c>
      <c r="N79" s="113">
        <f t="shared" si="52"/>
        <v>1773050</v>
      </c>
      <c r="O79" s="113">
        <f t="shared" si="52"/>
        <v>235324.17545955273</v>
      </c>
      <c r="P79" s="114">
        <f t="shared" si="52"/>
        <v>389600</v>
      </c>
      <c r="Q79" s="114">
        <f t="shared" si="52"/>
        <v>372300</v>
      </c>
      <c r="R79" s="167">
        <v>372300</v>
      </c>
      <c r="S79" s="90">
        <f t="shared" ref="S79:Y79" si="53">S81+S85</f>
        <v>419091.94</v>
      </c>
      <c r="T79" s="90">
        <f t="shared" si="53"/>
        <v>0</v>
      </c>
      <c r="U79" s="90" t="e">
        <f t="shared" ca="1" si="53"/>
        <v>#NAME?</v>
      </c>
      <c r="V79" s="89">
        <f t="shared" si="53"/>
        <v>298270</v>
      </c>
      <c r="W79" s="89">
        <f t="shared" si="53"/>
        <v>298270</v>
      </c>
      <c r="X79" s="88">
        <f t="shared" si="53"/>
        <v>859000</v>
      </c>
      <c r="Y79" s="171">
        <f t="shared" si="53"/>
        <v>810000</v>
      </c>
      <c r="Z79" s="171"/>
      <c r="AA79" s="171"/>
      <c r="AB79" s="171"/>
      <c r="AC79" s="171">
        <f>AC81+AC85</f>
        <v>0</v>
      </c>
      <c r="AD79" s="171">
        <f>AD81+AD85</f>
        <v>0</v>
      </c>
      <c r="AE79" s="178">
        <f>O79/M79*100</f>
        <v>47.767221510538533</v>
      </c>
      <c r="AF79" s="178">
        <f>P79/O79*100</f>
        <v>165.55885056822987</v>
      </c>
      <c r="AG79" s="178">
        <f>Q79/P79*100</f>
        <v>95.559548254620125</v>
      </c>
      <c r="AH79" s="178">
        <f>AC79/Q79*100</f>
        <v>0</v>
      </c>
      <c r="AI79" s="171"/>
      <c r="AJ79" s="171">
        <v>810000</v>
      </c>
      <c r="AK79" s="171">
        <f t="shared" si="21"/>
        <v>80.115498254096167</v>
      </c>
      <c r="AL79" s="171">
        <f>X79/W79*100</f>
        <v>287.99409930599791</v>
      </c>
      <c r="AM79" s="171">
        <f>Y79/X79*100</f>
        <v>94.29569266589057</v>
      </c>
      <c r="AN79" s="187" t="e">
        <f ca="1">__xlfn.ISFORMULA(#REF!)</f>
        <v>#NAME?</v>
      </c>
      <c r="AO79" s="199" t="e">
        <f ca="1">__xlfn.ISFORMULA(#REF!)</f>
        <v>#NAME?</v>
      </c>
      <c r="AP79" s="193" t="e">
        <f t="shared" ca="1" si="22"/>
        <v>#NAME?</v>
      </c>
      <c r="AQ79" s="200">
        <f>AQ81+AQ85</f>
        <v>369426.74</v>
      </c>
      <c r="AR79" s="204">
        <f t="shared" si="24"/>
        <v>80.115498254096167</v>
      </c>
      <c r="AS79" s="204">
        <f t="shared" ref="AS79:AS109" si="54">W79/V79*100</f>
        <v>100</v>
      </c>
      <c r="AT79" s="204">
        <f>W79/R79*100</f>
        <v>80.115498254096167</v>
      </c>
      <c r="AU79" s="204">
        <f>AQ79/W79*100</f>
        <v>123.85648573440172</v>
      </c>
      <c r="AV79" s="204">
        <f>AQ79/R79*100</f>
        <v>99.228240666129466</v>
      </c>
    </row>
    <row r="80" spans="1:48" ht="12" customHeight="1">
      <c r="A80" s="52"/>
      <c r="B80" s="53"/>
      <c r="C80" s="53"/>
      <c r="D80" s="53"/>
      <c r="E80" s="53"/>
      <c r="F80" s="53"/>
      <c r="G80" s="53"/>
      <c r="H80" s="64"/>
      <c r="I80" s="117"/>
      <c r="J80" s="118"/>
      <c r="K80" s="18"/>
      <c r="L80" s="119"/>
      <c r="M80" s="119"/>
      <c r="N80" s="120"/>
      <c r="O80" s="120"/>
      <c r="P80" s="121"/>
      <c r="Q80" s="121"/>
      <c r="R80" s="220"/>
      <c r="S80" s="158"/>
      <c r="T80" s="158"/>
      <c r="U80" s="158"/>
      <c r="V80" s="89"/>
      <c r="W80" s="89"/>
      <c r="X80" s="159"/>
      <c r="Y80" s="179"/>
      <c r="Z80" s="179"/>
      <c r="AA80" s="179"/>
      <c r="AB80" s="179"/>
      <c r="AC80" s="180"/>
      <c r="AD80" s="180"/>
      <c r="AE80" s="178"/>
      <c r="AF80" s="178"/>
      <c r="AG80" s="178"/>
      <c r="AH80" s="178"/>
      <c r="AI80" s="179"/>
      <c r="AJ80" s="179"/>
      <c r="AK80" s="171"/>
      <c r="AL80" s="171"/>
      <c r="AM80" s="171"/>
      <c r="AN80" s="187" t="e">
        <f ca="1">__xlfn.ISFORMULA(#REF!)</f>
        <v>#NAME?</v>
      </c>
      <c r="AO80" s="199" t="e">
        <f ca="1">__xlfn.ISFORMULA(#REF!)</f>
        <v>#NAME?</v>
      </c>
      <c r="AP80" s="193" t="e">
        <f t="shared" ca="1" si="22"/>
        <v>#NAME?</v>
      </c>
      <c r="AQ80" s="200"/>
      <c r="AR80" s="204"/>
      <c r="AS80" s="204"/>
      <c r="AT80" s="204"/>
      <c r="AU80" s="204"/>
      <c r="AV80" s="204"/>
    </row>
    <row r="81" spans="1:48" ht="12" customHeight="1">
      <c r="A81" s="52"/>
      <c r="B81" s="53"/>
      <c r="C81" s="53"/>
      <c r="D81" s="53"/>
      <c r="E81" s="53"/>
      <c r="F81" s="53"/>
      <c r="G81" s="53"/>
      <c r="H81" s="64">
        <v>6331</v>
      </c>
      <c r="I81" s="117"/>
      <c r="J81" s="118"/>
      <c r="K81" s="18" t="s">
        <v>124</v>
      </c>
      <c r="L81" s="112">
        <f t="shared" ref="L81:Q81" si="55">L82+L83</f>
        <v>364855</v>
      </c>
      <c r="M81" s="112">
        <f t="shared" si="55"/>
        <v>48424.580264118384</v>
      </c>
      <c r="N81" s="113">
        <f t="shared" si="55"/>
        <v>538730</v>
      </c>
      <c r="O81" s="113">
        <f t="shared" si="55"/>
        <v>71501.758577211498</v>
      </c>
      <c r="P81" s="114">
        <f t="shared" si="55"/>
        <v>11600</v>
      </c>
      <c r="Q81" s="114">
        <f t="shared" si="55"/>
        <v>260300</v>
      </c>
      <c r="R81" s="167">
        <v>260300</v>
      </c>
      <c r="S81" s="90">
        <f t="shared" ref="S81:Y81" si="56">S82+S83</f>
        <v>393271.45</v>
      </c>
      <c r="T81" s="90">
        <f t="shared" si="56"/>
        <v>0</v>
      </c>
      <c r="U81" s="90" t="e">
        <f t="shared" ca="1" si="56"/>
        <v>#NAME?</v>
      </c>
      <c r="V81" s="89">
        <f t="shared" si="56"/>
        <v>151500</v>
      </c>
      <c r="W81" s="89">
        <f t="shared" si="56"/>
        <v>151500</v>
      </c>
      <c r="X81" s="88">
        <f t="shared" si="56"/>
        <v>193000</v>
      </c>
      <c r="Y81" s="171">
        <f t="shared" si="56"/>
        <v>110000</v>
      </c>
      <c r="Z81" s="171"/>
      <c r="AA81" s="171"/>
      <c r="AB81" s="171"/>
      <c r="AC81" s="172">
        <f>AC82+AC83</f>
        <v>0</v>
      </c>
      <c r="AD81" s="172">
        <f>AD82+AD83</f>
        <v>0</v>
      </c>
      <c r="AE81" s="178">
        <f>O81/M81*100</f>
        <v>147.6559181044525</v>
      </c>
      <c r="AF81" s="178">
        <f>P81/O81*100</f>
        <v>16.22337720193789</v>
      </c>
      <c r="AG81" s="178"/>
      <c r="AH81" s="178">
        <f>AC81/Q81*100</f>
        <v>0</v>
      </c>
      <c r="AI81" s="171"/>
      <c r="AJ81" s="171">
        <v>110000</v>
      </c>
      <c r="AK81" s="171">
        <f t="shared" si="21"/>
        <v>58.202074529389172</v>
      </c>
      <c r="AL81" s="171">
        <f t="shared" ref="AL81:AM83" si="57">X81/W81*100</f>
        <v>127.3927392739274</v>
      </c>
      <c r="AM81" s="171">
        <f t="shared" si="57"/>
        <v>56.994818652849744</v>
      </c>
      <c r="AN81" s="187" t="e">
        <f ca="1">__xlfn.ISFORMULA(#REF!)</f>
        <v>#NAME?</v>
      </c>
      <c r="AO81" s="199" t="e">
        <f ca="1">__xlfn.ISFORMULA(#REF!)</f>
        <v>#NAME?</v>
      </c>
      <c r="AP81" s="193" t="e">
        <f t="shared" ca="1" si="22"/>
        <v>#NAME?</v>
      </c>
      <c r="AQ81" s="200">
        <f>AQ82+AQ83</f>
        <v>77826.600000000006</v>
      </c>
      <c r="AR81" s="204">
        <f t="shared" si="24"/>
        <v>58.202074529389172</v>
      </c>
      <c r="AS81" s="204">
        <f t="shared" si="54"/>
        <v>100</v>
      </c>
      <c r="AT81" s="204">
        <f>W81/R81*100</f>
        <v>58.202074529389172</v>
      </c>
      <c r="AU81" s="204">
        <f>AQ81/W81*100</f>
        <v>51.370693069306938</v>
      </c>
      <c r="AV81" s="204">
        <f>AQ81/R81*100</f>
        <v>29.89880906646178</v>
      </c>
    </row>
    <row r="82" spans="1:48" ht="12" customHeight="1">
      <c r="A82" s="52"/>
      <c r="B82" s="53"/>
      <c r="C82" s="53"/>
      <c r="D82" s="53"/>
      <c r="E82" s="53"/>
      <c r="F82" s="53"/>
      <c r="G82" s="53"/>
      <c r="H82" s="64">
        <v>63311</v>
      </c>
      <c r="I82" s="117">
        <v>63</v>
      </c>
      <c r="J82" s="118"/>
      <c r="K82" s="18" t="s">
        <v>125</v>
      </c>
      <c r="L82" s="130">
        <v>245626</v>
      </c>
      <c r="M82" s="130">
        <f>245626/7.5345</f>
        <v>32600.172539650936</v>
      </c>
      <c r="N82" s="131">
        <v>528730</v>
      </c>
      <c r="O82" s="131">
        <f>N82/7.5345</f>
        <v>70174.530493065235</v>
      </c>
      <c r="P82" s="132">
        <v>7600</v>
      </c>
      <c r="Q82" s="163">
        <v>251300</v>
      </c>
      <c r="R82" s="164">
        <v>251300</v>
      </c>
      <c r="S82" s="165">
        <v>393271.45</v>
      </c>
      <c r="T82" s="165"/>
      <c r="U82" s="90" t="e">
        <f ca="1">__xlfn.ISFORMULA(S82)</f>
        <v>#NAME?</v>
      </c>
      <c r="V82" s="89">
        <f>90000+59500</f>
        <v>149500</v>
      </c>
      <c r="W82" s="89">
        <f>90000+59500</f>
        <v>149500</v>
      </c>
      <c r="X82" s="159">
        <f>40000+150000</f>
        <v>190000</v>
      </c>
      <c r="Y82" s="183">
        <v>110000</v>
      </c>
      <c r="Z82" s="183"/>
      <c r="AA82" s="183"/>
      <c r="AB82" s="183"/>
      <c r="AC82" s="178">
        <v>0</v>
      </c>
      <c r="AD82" s="178">
        <v>0</v>
      </c>
      <c r="AE82" s="178">
        <f>O82/M82*100</f>
        <v>215.2581567097946</v>
      </c>
      <c r="AF82" s="178">
        <f>P82/O82*100</f>
        <v>10.830140147145045</v>
      </c>
      <c r="AG82" s="178"/>
      <c r="AH82" s="178">
        <f>AC82/Q82*100</f>
        <v>0</v>
      </c>
      <c r="AI82" s="183"/>
      <c r="AJ82" s="183">
        <v>110000</v>
      </c>
      <c r="AK82" s="171">
        <f t="shared" si="21"/>
        <v>59.490648627138874</v>
      </c>
      <c r="AL82" s="171">
        <f t="shared" si="57"/>
        <v>127.09030100334448</v>
      </c>
      <c r="AM82" s="171">
        <f t="shared" si="57"/>
        <v>57.894736842105267</v>
      </c>
      <c r="AN82" s="187" t="e">
        <f ca="1">__xlfn.ISFORMULA(#REF!)</f>
        <v>#NAME?</v>
      </c>
      <c r="AO82" s="199" t="e">
        <f ca="1">__xlfn.ISFORMULA(#REF!)</f>
        <v>#NAME?</v>
      </c>
      <c r="AP82" s="193" t="e">
        <f t="shared" ca="1" si="22"/>
        <v>#NAME?</v>
      </c>
      <c r="AQ82" s="200">
        <v>77826.600000000006</v>
      </c>
      <c r="AR82" s="204">
        <f t="shared" si="24"/>
        <v>59.490648627138874</v>
      </c>
      <c r="AS82" s="204">
        <f t="shared" si="54"/>
        <v>100</v>
      </c>
      <c r="AT82" s="204">
        <f>W82/R82*100</f>
        <v>59.490648627138874</v>
      </c>
      <c r="AU82" s="204">
        <f>AQ82/W82*100</f>
        <v>52.057926421404687</v>
      </c>
      <c r="AV82" s="204">
        <f>AQ82/R82*100</f>
        <v>30.969598089932354</v>
      </c>
    </row>
    <row r="83" spans="1:48" ht="12" customHeight="1">
      <c r="A83" s="52"/>
      <c r="B83" s="53"/>
      <c r="C83" s="53"/>
      <c r="D83" s="53"/>
      <c r="E83" s="53"/>
      <c r="F83" s="53"/>
      <c r="G83" s="53"/>
      <c r="H83" s="64">
        <v>63312</v>
      </c>
      <c r="I83" s="117"/>
      <c r="J83" s="118"/>
      <c r="K83" s="18" t="s">
        <v>126</v>
      </c>
      <c r="L83" s="130">
        <v>119229</v>
      </c>
      <c r="M83" s="130">
        <f>119229/7.5345</f>
        <v>15824.407724467448</v>
      </c>
      <c r="N83" s="131">
        <v>10000</v>
      </c>
      <c r="O83" s="131">
        <f>N83/7.5345</f>
        <v>1327.2280841462605</v>
      </c>
      <c r="P83" s="132">
        <v>4000</v>
      </c>
      <c r="Q83" s="163">
        <v>9000</v>
      </c>
      <c r="R83" s="164">
        <v>9000</v>
      </c>
      <c r="S83" s="165"/>
      <c r="T83" s="165"/>
      <c r="U83" s="90" t="e">
        <f ca="1">__xlfn.ISFORMULA(S83)</f>
        <v>#NAME?</v>
      </c>
      <c r="V83" s="89">
        <v>2000</v>
      </c>
      <c r="W83" s="89">
        <v>2000</v>
      </c>
      <c r="X83" s="159">
        <v>3000</v>
      </c>
      <c r="Y83" s="183"/>
      <c r="Z83" s="183"/>
      <c r="AA83" s="183"/>
      <c r="AB83" s="183"/>
      <c r="AC83" s="178">
        <v>0</v>
      </c>
      <c r="AD83" s="178">
        <v>0</v>
      </c>
      <c r="AE83" s="178">
        <f>O83/M83*100</f>
        <v>8.3872212297343776</v>
      </c>
      <c r="AF83" s="178">
        <f>P83/O83*100</f>
        <v>301.38000000000005</v>
      </c>
      <c r="AG83" s="178">
        <f>Q83/P83*100</f>
        <v>225</v>
      </c>
      <c r="AH83" s="178">
        <f>AC83/Q83*100</f>
        <v>0</v>
      </c>
      <c r="AI83" s="183"/>
      <c r="AJ83" s="183"/>
      <c r="AK83" s="171">
        <f t="shared" si="21"/>
        <v>22.222222222222221</v>
      </c>
      <c r="AL83" s="171">
        <f t="shared" si="57"/>
        <v>150</v>
      </c>
      <c r="AM83" s="171">
        <f t="shared" si="57"/>
        <v>0</v>
      </c>
      <c r="AN83" s="187" t="e">
        <f ca="1">__xlfn.ISFORMULA(#REF!)</f>
        <v>#NAME?</v>
      </c>
      <c r="AO83" s="199" t="e">
        <f ca="1">__xlfn.ISFORMULA(#REF!)</f>
        <v>#NAME?</v>
      </c>
      <c r="AP83" s="193" t="e">
        <f t="shared" ca="1" si="22"/>
        <v>#NAME?</v>
      </c>
      <c r="AQ83" s="200"/>
      <c r="AR83" s="204">
        <f t="shared" si="24"/>
        <v>22.222222222222221</v>
      </c>
      <c r="AS83" s="204"/>
      <c r="AT83" s="204">
        <f>W83/R83*100</f>
        <v>22.222222222222221</v>
      </c>
      <c r="AU83" s="204">
        <f>AQ83/W83*100</f>
        <v>0</v>
      </c>
      <c r="AV83" s="204">
        <f>AQ83/R83*100</f>
        <v>0</v>
      </c>
    </row>
    <row r="84" spans="1:48" ht="12" customHeight="1">
      <c r="A84" s="208"/>
      <c r="B84" s="209"/>
      <c r="C84" s="209"/>
      <c r="D84" s="209"/>
      <c r="E84" s="209"/>
      <c r="F84" s="209"/>
      <c r="G84" s="209"/>
      <c r="H84" s="210"/>
      <c r="I84" s="215"/>
      <c r="J84" s="133"/>
      <c r="K84" s="18"/>
      <c r="L84" s="119"/>
      <c r="M84" s="119"/>
      <c r="N84" s="120"/>
      <c r="O84" s="120"/>
      <c r="P84" s="121"/>
      <c r="Q84" s="121"/>
      <c r="R84" s="220"/>
      <c r="S84" s="158"/>
      <c r="T84" s="158"/>
      <c r="U84" s="90" t="e">
        <f ca="1">__xlfn.ISFORMULA(S84)</f>
        <v>#NAME?</v>
      </c>
      <c r="V84" s="89"/>
      <c r="W84" s="89"/>
      <c r="X84" s="159"/>
      <c r="Y84" s="179"/>
      <c r="Z84" s="179"/>
      <c r="AA84" s="179"/>
      <c r="AB84" s="179"/>
      <c r="AC84" s="180"/>
      <c r="AD84" s="180"/>
      <c r="AE84" s="178"/>
      <c r="AF84" s="178"/>
      <c r="AG84" s="178"/>
      <c r="AH84" s="178"/>
      <c r="AI84" s="179"/>
      <c r="AJ84" s="179"/>
      <c r="AK84" s="171"/>
      <c r="AL84" s="171"/>
      <c r="AM84" s="171"/>
      <c r="AN84" s="187" t="e">
        <f ca="1">__xlfn.ISFORMULA(#REF!)</f>
        <v>#NAME?</v>
      </c>
      <c r="AO84" s="199" t="e">
        <f ca="1">__xlfn.ISFORMULA(#REF!)</f>
        <v>#NAME?</v>
      </c>
      <c r="AP84" s="193" t="e">
        <f t="shared" ca="1" si="22"/>
        <v>#NAME?</v>
      </c>
      <c r="AQ84" s="200"/>
      <c r="AR84" s="204"/>
      <c r="AS84" s="204"/>
      <c r="AT84" s="204"/>
      <c r="AU84" s="204"/>
      <c r="AV84" s="204"/>
    </row>
    <row r="85" spans="1:48" ht="12" customHeight="1">
      <c r="A85" s="52"/>
      <c r="B85" s="53"/>
      <c r="C85" s="53"/>
      <c r="D85" s="53"/>
      <c r="E85" s="53"/>
      <c r="F85" s="53"/>
      <c r="G85" s="53"/>
      <c r="H85" s="64">
        <v>6332</v>
      </c>
      <c r="I85" s="117"/>
      <c r="J85" s="118"/>
      <c r="K85" s="18" t="s">
        <v>127</v>
      </c>
      <c r="L85" s="112">
        <f>L86+L87+L88+L89</f>
        <v>3347000</v>
      </c>
      <c r="M85" s="112">
        <f>M86+M87+M88+M89</f>
        <v>444223.23976375343</v>
      </c>
      <c r="N85" s="113">
        <f>N86+N87+N88</f>
        <v>1234320</v>
      </c>
      <c r="O85" s="113">
        <f>O86+O87+O88</f>
        <v>163822.41688234123</v>
      </c>
      <c r="P85" s="114">
        <f>P86+P87+P88</f>
        <v>378000</v>
      </c>
      <c r="Q85" s="114">
        <f t="shared" ref="Q85:Y85" si="58">Q86+Q87+Q88</f>
        <v>112000</v>
      </c>
      <c r="R85" s="167">
        <v>112000</v>
      </c>
      <c r="S85" s="90">
        <f t="shared" si="58"/>
        <v>25820.49</v>
      </c>
      <c r="T85" s="90">
        <f t="shared" si="58"/>
        <v>0</v>
      </c>
      <c r="U85" s="90" t="e">
        <f t="shared" ca="1" si="58"/>
        <v>#NAME?</v>
      </c>
      <c r="V85" s="89">
        <f t="shared" si="58"/>
        <v>146770</v>
      </c>
      <c r="W85" s="89">
        <f t="shared" si="58"/>
        <v>146770</v>
      </c>
      <c r="X85" s="88">
        <f t="shared" si="58"/>
        <v>666000</v>
      </c>
      <c r="Y85" s="171">
        <f t="shared" si="58"/>
        <v>700000</v>
      </c>
      <c r="Z85" s="171"/>
      <c r="AA85" s="171"/>
      <c r="AB85" s="171"/>
      <c r="AC85" s="172">
        <f>AC86+AC87+AC88</f>
        <v>0</v>
      </c>
      <c r="AD85" s="172">
        <f>AD86+AD87+AD88</f>
        <v>0</v>
      </c>
      <c r="AE85" s="178">
        <f>O85/M85*100</f>
        <v>36.878398565879891</v>
      </c>
      <c r="AF85" s="178">
        <f>P85/O85*100</f>
        <v>230.73765312074664</v>
      </c>
      <c r="AG85" s="178">
        <f>Q85/P85*100</f>
        <v>29.629629629629626</v>
      </c>
      <c r="AH85" s="178">
        <f>AC85/Q85*100</f>
        <v>0</v>
      </c>
      <c r="AI85" s="171"/>
      <c r="AJ85" s="171">
        <v>700000</v>
      </c>
      <c r="AK85" s="171">
        <f t="shared" ref="AK85:AK148" si="59">W85/R85*100</f>
        <v>131.04464285714286</v>
      </c>
      <c r="AL85" s="171">
        <f t="shared" ref="AL85:AL148" si="60">X85/W85*100</f>
        <v>453.77120664986029</v>
      </c>
      <c r="AM85" s="171">
        <f>Y85/X85*100</f>
        <v>105.10510510510511</v>
      </c>
      <c r="AN85" s="187" t="e">
        <f ca="1">__xlfn.ISFORMULA(#REF!)</f>
        <v>#NAME?</v>
      </c>
      <c r="AO85" s="199" t="e">
        <f ca="1">__xlfn.ISFORMULA(#REF!)</f>
        <v>#NAME?</v>
      </c>
      <c r="AP85" s="193" t="e">
        <f t="shared" ca="1" si="22"/>
        <v>#NAME?</v>
      </c>
      <c r="AQ85" s="200">
        <f>AQ86+AQ87+AQ88</f>
        <v>291600.14</v>
      </c>
      <c r="AR85" s="204">
        <f t="shared" si="24"/>
        <v>131.04464285714286</v>
      </c>
      <c r="AS85" s="204">
        <f t="shared" si="54"/>
        <v>100</v>
      </c>
      <c r="AT85" s="204">
        <f>W85/R85*100</f>
        <v>131.04464285714286</v>
      </c>
      <c r="AU85" s="204">
        <f>AQ85/W85*100</f>
        <v>198.67829937998229</v>
      </c>
      <c r="AV85" s="204">
        <f>AQ85/R85*100</f>
        <v>260.35726785714286</v>
      </c>
    </row>
    <row r="86" spans="1:48" ht="12" customHeight="1">
      <c r="A86" s="52"/>
      <c r="B86" s="53"/>
      <c r="C86" s="53"/>
      <c r="D86" s="53"/>
      <c r="E86" s="53"/>
      <c r="F86" s="53"/>
      <c r="G86" s="53"/>
      <c r="H86" s="64">
        <v>63321</v>
      </c>
      <c r="I86" s="117" t="s">
        <v>128</v>
      </c>
      <c r="J86" s="118"/>
      <c r="K86" s="18" t="s">
        <v>129</v>
      </c>
      <c r="L86" s="130">
        <v>3332000</v>
      </c>
      <c r="M86" s="130">
        <f>3332000/7.5345</f>
        <v>442232.39763753401</v>
      </c>
      <c r="N86" s="131">
        <v>964320</v>
      </c>
      <c r="O86" s="131">
        <f>N86/7.5345</f>
        <v>127987.25861039219</v>
      </c>
      <c r="P86" s="132">
        <v>363000</v>
      </c>
      <c r="Q86" s="132">
        <v>98700</v>
      </c>
      <c r="R86" s="164">
        <v>98700</v>
      </c>
      <c r="S86" s="165">
        <v>25820.49</v>
      </c>
      <c r="T86" s="165"/>
      <c r="U86" s="90" t="e">
        <f t="shared" ref="U86:U149" ca="1" si="61">__xlfn.ISFORMULA(S86)</f>
        <v>#NAME?</v>
      </c>
      <c r="V86" s="89">
        <f>69570+9700+67500</f>
        <v>146770</v>
      </c>
      <c r="W86" s="89">
        <f>69570+9700+67500</f>
        <v>146770</v>
      </c>
      <c r="X86" s="159">
        <f>660000</f>
        <v>660000</v>
      </c>
      <c r="Y86" s="183">
        <v>700000</v>
      </c>
      <c r="Z86" s="183"/>
      <c r="AA86" s="183"/>
      <c r="AB86" s="183"/>
      <c r="AC86" s="178">
        <v>0</v>
      </c>
      <c r="AD86" s="178">
        <v>0</v>
      </c>
      <c r="AE86" s="178">
        <f>O86/M86*100</f>
        <v>28.941176470588236</v>
      </c>
      <c r="AF86" s="178">
        <f>P86/O86*100</f>
        <v>283.62198232951721</v>
      </c>
      <c r="AG86" s="178">
        <f>Q86/P86*100</f>
        <v>27.190082644628099</v>
      </c>
      <c r="AH86" s="178">
        <f>AC86/Q86*100</f>
        <v>0</v>
      </c>
      <c r="AI86" s="183"/>
      <c r="AJ86" s="183">
        <v>700000</v>
      </c>
      <c r="AK86" s="171">
        <f t="shared" si="59"/>
        <v>148.70314083080041</v>
      </c>
      <c r="AL86" s="171">
        <f t="shared" si="60"/>
        <v>449.68317776112281</v>
      </c>
      <c r="AM86" s="171">
        <f>Y86/X86*100</f>
        <v>106.06060606060606</v>
      </c>
      <c r="AN86" s="187" t="e">
        <f ca="1">__xlfn.ISFORMULA(#REF!)</f>
        <v>#NAME?</v>
      </c>
      <c r="AO86" s="199" t="e">
        <f ca="1">__xlfn.ISFORMULA(#REF!)</f>
        <v>#NAME?</v>
      </c>
      <c r="AP86" s="193" t="e">
        <f t="shared" ca="1" si="22"/>
        <v>#NAME?</v>
      </c>
      <c r="AQ86" s="200">
        <v>184385.56</v>
      </c>
      <c r="AR86" s="204">
        <f t="shared" si="24"/>
        <v>148.70314083080041</v>
      </c>
      <c r="AS86" s="204">
        <f t="shared" si="54"/>
        <v>100</v>
      </c>
      <c r="AT86" s="204">
        <f>W86/R86*100</f>
        <v>148.70314083080041</v>
      </c>
      <c r="AU86" s="204">
        <f>AQ86/W86*100</f>
        <v>125.62891599100634</v>
      </c>
      <c r="AV86" s="204">
        <f>AQ86/R86*100</f>
        <v>186.81414387031407</v>
      </c>
    </row>
    <row r="87" spans="1:48" ht="12" customHeight="1">
      <c r="A87" s="52"/>
      <c r="B87" s="53"/>
      <c r="C87" s="53"/>
      <c r="D87" s="53"/>
      <c r="E87" s="53"/>
      <c r="F87" s="53"/>
      <c r="G87" s="53"/>
      <c r="H87" s="64">
        <v>63321</v>
      </c>
      <c r="I87" s="117"/>
      <c r="J87" s="118"/>
      <c r="K87" s="18" t="s">
        <v>130</v>
      </c>
      <c r="L87" s="130">
        <v>0</v>
      </c>
      <c r="M87" s="130">
        <v>0</v>
      </c>
      <c r="N87" s="131">
        <v>0</v>
      </c>
      <c r="O87" s="131">
        <f>N87/7.5345</f>
        <v>0</v>
      </c>
      <c r="P87" s="132">
        <v>0</v>
      </c>
      <c r="Q87" s="132">
        <v>0</v>
      </c>
      <c r="R87" s="164">
        <v>0</v>
      </c>
      <c r="S87" s="165"/>
      <c r="T87" s="165"/>
      <c r="U87" s="90" t="e">
        <f t="shared" ca="1" si="61"/>
        <v>#NAME?</v>
      </c>
      <c r="V87" s="89"/>
      <c r="W87" s="89"/>
      <c r="X87" s="159"/>
      <c r="Y87" s="183"/>
      <c r="Z87" s="183"/>
      <c r="AA87" s="183"/>
      <c r="AB87" s="183"/>
      <c r="AC87" s="178">
        <v>0</v>
      </c>
      <c r="AD87" s="178">
        <v>0</v>
      </c>
      <c r="AE87" s="178"/>
      <c r="AF87" s="178"/>
      <c r="AG87" s="178"/>
      <c r="AH87" s="178"/>
      <c r="AI87" s="183"/>
      <c r="AJ87" s="183"/>
      <c r="AK87" s="171"/>
      <c r="AL87" s="171"/>
      <c r="AM87" s="171"/>
      <c r="AN87" s="187" t="e">
        <f ca="1">__xlfn.ISFORMULA(#REF!)</f>
        <v>#NAME?</v>
      </c>
      <c r="AO87" s="199" t="e">
        <f ca="1">__xlfn.ISFORMULA(#REF!)</f>
        <v>#NAME?</v>
      </c>
      <c r="AP87" s="193" t="e">
        <f t="shared" ca="1" si="22"/>
        <v>#NAME?</v>
      </c>
      <c r="AQ87" s="200">
        <v>76200</v>
      </c>
      <c r="AR87" s="204"/>
      <c r="AS87" s="204"/>
      <c r="AT87" s="204"/>
      <c r="AU87" s="204"/>
      <c r="AV87" s="204"/>
    </row>
    <row r="88" spans="1:48" ht="12" customHeight="1">
      <c r="A88" s="52"/>
      <c r="B88" s="53"/>
      <c r="C88" s="53"/>
      <c r="D88" s="53"/>
      <c r="E88" s="53"/>
      <c r="F88" s="53"/>
      <c r="G88" s="53"/>
      <c r="H88" s="64">
        <v>63322</v>
      </c>
      <c r="I88" s="117" t="s">
        <v>131</v>
      </c>
      <c r="J88" s="118"/>
      <c r="K88" s="18" t="s">
        <v>132</v>
      </c>
      <c r="L88" s="130">
        <v>0</v>
      </c>
      <c r="M88" s="130">
        <v>0</v>
      </c>
      <c r="N88" s="131">
        <v>270000</v>
      </c>
      <c r="O88" s="131">
        <f>N88/7.5345</f>
        <v>35835.158271949032</v>
      </c>
      <c r="P88" s="132">
        <v>15000</v>
      </c>
      <c r="Q88" s="163">
        <v>13300</v>
      </c>
      <c r="R88" s="164">
        <v>13300</v>
      </c>
      <c r="S88" s="165"/>
      <c r="T88" s="165"/>
      <c r="U88" s="90" t="e">
        <f t="shared" ca="1" si="61"/>
        <v>#NAME?</v>
      </c>
      <c r="V88" s="89"/>
      <c r="W88" s="89"/>
      <c r="X88" s="159">
        <v>6000</v>
      </c>
      <c r="Y88" s="183"/>
      <c r="Z88" s="183"/>
      <c r="AA88" s="183"/>
      <c r="AB88" s="183"/>
      <c r="AC88" s="178">
        <v>0</v>
      </c>
      <c r="AD88" s="178">
        <v>0</v>
      </c>
      <c r="AE88" s="178"/>
      <c r="AF88" s="178">
        <f>P88/O88*100</f>
        <v>41.858333333333334</v>
      </c>
      <c r="AG88" s="178">
        <f>Q88/P88*100</f>
        <v>88.666666666666671</v>
      </c>
      <c r="AH88" s="178">
        <f>AC88/Q88*100</f>
        <v>0</v>
      </c>
      <c r="AI88" s="183"/>
      <c r="AJ88" s="183"/>
      <c r="AK88" s="171">
        <f t="shared" si="59"/>
        <v>0</v>
      </c>
      <c r="AL88" s="171"/>
      <c r="AM88" s="171">
        <f>Y88/X88*100</f>
        <v>0</v>
      </c>
      <c r="AN88" s="187" t="e">
        <f ca="1">__xlfn.ISFORMULA(#REF!)</f>
        <v>#NAME?</v>
      </c>
      <c r="AO88" s="199" t="e">
        <f ca="1">__xlfn.ISFORMULA(#REF!)</f>
        <v>#NAME?</v>
      </c>
      <c r="AP88" s="193" t="e">
        <f t="shared" ca="1" si="22"/>
        <v>#NAME?</v>
      </c>
      <c r="AQ88" s="200">
        <v>31014.58</v>
      </c>
      <c r="AR88" s="204">
        <f>V88/R88*100</f>
        <v>0</v>
      </c>
      <c r="AS88" s="204"/>
      <c r="AT88" s="204">
        <f>W88/R88*100</f>
        <v>0</v>
      </c>
      <c r="AU88" s="204"/>
      <c r="AV88" s="204">
        <f>AQ88/R88*100</f>
        <v>233.19233082706768</v>
      </c>
    </row>
    <row r="89" spans="1:48" ht="12" customHeight="1">
      <c r="A89" s="52"/>
      <c r="B89" s="53"/>
      <c r="C89" s="53"/>
      <c r="D89" s="53"/>
      <c r="E89" s="53"/>
      <c r="F89" s="53"/>
      <c r="G89" s="53"/>
      <c r="H89" s="64">
        <v>63323</v>
      </c>
      <c r="I89" s="117"/>
      <c r="J89" s="118"/>
      <c r="K89" s="133" t="s">
        <v>133</v>
      </c>
      <c r="L89" s="130">
        <v>15000</v>
      </c>
      <c r="M89" s="130">
        <f>15000/7.5345</f>
        <v>1990.8421262193906</v>
      </c>
      <c r="N89" s="131">
        <v>20000</v>
      </c>
      <c r="O89" s="131">
        <f>N89/7.5345</f>
        <v>2654.4561682925209</v>
      </c>
      <c r="P89" s="132">
        <v>0</v>
      </c>
      <c r="Q89" s="132">
        <v>0</v>
      </c>
      <c r="R89" s="164">
        <v>0</v>
      </c>
      <c r="S89" s="165"/>
      <c r="T89" s="165"/>
      <c r="U89" s="90" t="e">
        <f t="shared" ca="1" si="61"/>
        <v>#NAME?</v>
      </c>
      <c r="V89" s="89"/>
      <c r="W89" s="89"/>
      <c r="X89" s="159"/>
      <c r="Y89" s="183"/>
      <c r="Z89" s="183"/>
      <c r="AA89" s="183"/>
      <c r="AB89" s="183"/>
      <c r="AC89" s="178"/>
      <c r="AD89" s="178"/>
      <c r="AE89" s="178">
        <f>O89/M89*100</f>
        <v>133.33333333333334</v>
      </c>
      <c r="AF89" s="178">
        <f>P89/O89*100</f>
        <v>0</v>
      </c>
      <c r="AG89" s="178"/>
      <c r="AH89" s="178"/>
      <c r="AI89" s="183"/>
      <c r="AJ89" s="183"/>
      <c r="AK89" s="171"/>
      <c r="AL89" s="171"/>
      <c r="AM89" s="171"/>
      <c r="AN89" s="187" t="e">
        <f ca="1">__xlfn.ISFORMULA(#REF!)</f>
        <v>#NAME?</v>
      </c>
      <c r="AO89" s="199" t="e">
        <f ca="1">__xlfn.ISFORMULA(#REF!)</f>
        <v>#NAME?</v>
      </c>
      <c r="AP89" s="193" t="e">
        <f t="shared" ca="1" si="22"/>
        <v>#NAME?</v>
      </c>
      <c r="AQ89" s="200"/>
      <c r="AR89" s="204"/>
      <c r="AS89" s="204"/>
      <c r="AT89" s="204"/>
      <c r="AU89" s="204"/>
      <c r="AV89" s="204"/>
    </row>
    <row r="90" spans="1:48" ht="12" customHeight="1">
      <c r="A90" s="47"/>
      <c r="B90" s="42"/>
      <c r="C90" s="42"/>
      <c r="D90" s="42"/>
      <c r="E90" s="42"/>
      <c r="F90" s="42"/>
      <c r="G90" s="42"/>
      <c r="H90" s="38"/>
      <c r="I90" s="73"/>
      <c r="J90" s="91"/>
      <c r="K90" s="84"/>
      <c r="L90" s="85">
        <v>1</v>
      </c>
      <c r="M90" s="85">
        <v>2</v>
      </c>
      <c r="N90" s="86">
        <v>3</v>
      </c>
      <c r="O90" s="86">
        <v>4</v>
      </c>
      <c r="P90" s="87">
        <v>5</v>
      </c>
      <c r="Q90" s="87">
        <v>6</v>
      </c>
      <c r="R90" s="168">
        <v>4</v>
      </c>
      <c r="S90" s="161"/>
      <c r="T90" s="161"/>
      <c r="U90" s="90" t="e">
        <f t="shared" ca="1" si="61"/>
        <v>#NAME?</v>
      </c>
      <c r="V90" s="89"/>
      <c r="W90" s="89"/>
      <c r="X90" s="162"/>
      <c r="Y90" s="181"/>
      <c r="Z90" s="181"/>
      <c r="AA90" s="181"/>
      <c r="AB90" s="181"/>
      <c r="AC90" s="182">
        <v>7</v>
      </c>
      <c r="AD90" s="182">
        <v>8</v>
      </c>
      <c r="AE90" s="182">
        <v>9</v>
      </c>
      <c r="AF90" s="182">
        <v>10</v>
      </c>
      <c r="AG90" s="182">
        <v>11</v>
      </c>
      <c r="AH90" s="182">
        <v>12</v>
      </c>
      <c r="AI90" s="181"/>
      <c r="AJ90" s="181"/>
      <c r="AK90" s="171">
        <f t="shared" si="59"/>
        <v>0</v>
      </c>
      <c r="AL90" s="171"/>
      <c r="AM90" s="171"/>
      <c r="AN90" s="187" t="e">
        <f ca="1">__xlfn.ISFORMULA(#REF!)</f>
        <v>#NAME?</v>
      </c>
      <c r="AO90" s="199" t="e">
        <f ca="1">__xlfn.ISFORMULA(#REF!)</f>
        <v>#NAME?</v>
      </c>
      <c r="AP90" s="193" t="e">
        <f t="shared" ca="1" si="22"/>
        <v>#NAME?</v>
      </c>
      <c r="AQ90" s="200"/>
      <c r="AR90" s="204">
        <f>V90/R90*100</f>
        <v>0</v>
      </c>
      <c r="AS90" s="204" t="e">
        <f t="shared" si="54"/>
        <v>#DIV/0!</v>
      </c>
      <c r="AT90" s="204">
        <f>W90/R90*100</f>
        <v>0</v>
      </c>
      <c r="AU90" s="204"/>
      <c r="AV90" s="204">
        <f>AQ90/R90*100</f>
        <v>0</v>
      </c>
    </row>
    <row r="91" spans="1:48" ht="12" customHeight="1">
      <c r="A91" s="61"/>
      <c r="B91" s="62"/>
      <c r="C91" s="62"/>
      <c r="D91" s="62"/>
      <c r="E91" s="62"/>
      <c r="F91" s="62"/>
      <c r="G91" s="62"/>
      <c r="H91" s="63">
        <v>638</v>
      </c>
      <c r="I91" s="128"/>
      <c r="J91" s="129"/>
      <c r="K91" s="19" t="s">
        <v>134</v>
      </c>
      <c r="L91" s="112">
        <f t="shared" ref="L91:Q91" si="62">L92</f>
        <v>0</v>
      </c>
      <c r="M91" s="112">
        <f t="shared" si="62"/>
        <v>0</v>
      </c>
      <c r="N91" s="113">
        <f t="shared" si="62"/>
        <v>508281</v>
      </c>
      <c r="O91" s="113">
        <f t="shared" si="62"/>
        <v>67460.481783794545</v>
      </c>
      <c r="P91" s="114">
        <f t="shared" si="62"/>
        <v>265400</v>
      </c>
      <c r="Q91" s="114">
        <f t="shared" si="62"/>
        <v>200400</v>
      </c>
      <c r="R91" s="167">
        <v>200400</v>
      </c>
      <c r="S91" s="90"/>
      <c r="T91" s="90"/>
      <c r="U91" s="90" t="e">
        <f t="shared" ca="1" si="61"/>
        <v>#NAME?</v>
      </c>
      <c r="V91" s="89">
        <f>V92</f>
        <v>323700</v>
      </c>
      <c r="W91" s="89">
        <f>W92</f>
        <v>323700</v>
      </c>
      <c r="X91" s="88">
        <f>X92</f>
        <v>0</v>
      </c>
      <c r="Y91" s="171">
        <f>Y92</f>
        <v>0</v>
      </c>
      <c r="Z91" s="171"/>
      <c r="AA91" s="171"/>
      <c r="AB91" s="171"/>
      <c r="AC91" s="172">
        <f>AC92</f>
        <v>0</v>
      </c>
      <c r="AD91" s="172">
        <f>AD92</f>
        <v>0</v>
      </c>
      <c r="AE91" s="178"/>
      <c r="AF91" s="178">
        <f>P91/O91*100</f>
        <v>393.41551228552709</v>
      </c>
      <c r="AG91" s="178">
        <f>Q91/P91*100</f>
        <v>75.508666164280342</v>
      </c>
      <c r="AH91" s="178">
        <f>AC91/Q91*100</f>
        <v>0</v>
      </c>
      <c r="AI91" s="171"/>
      <c r="AJ91" s="171">
        <v>0</v>
      </c>
      <c r="AK91" s="171">
        <f t="shared" si="59"/>
        <v>161.52694610778445</v>
      </c>
      <c r="AL91" s="171">
        <f t="shared" si="60"/>
        <v>0</v>
      </c>
      <c r="AM91" s="171"/>
      <c r="AN91" s="187" t="e">
        <f ca="1">__xlfn.ISFORMULA(#REF!)</f>
        <v>#NAME?</v>
      </c>
      <c r="AO91" s="199" t="e">
        <f ca="1">__xlfn.ISFORMULA(#REF!)</f>
        <v>#NAME?</v>
      </c>
      <c r="AP91" s="193" t="e">
        <f t="shared" ca="1" si="22"/>
        <v>#NAME?</v>
      </c>
      <c r="AQ91" s="200">
        <f>AQ92</f>
        <v>323702.05</v>
      </c>
      <c r="AR91" s="204">
        <f>V91/R91*100</f>
        <v>161.52694610778445</v>
      </c>
      <c r="AS91" s="204">
        <f t="shared" si="54"/>
        <v>100</v>
      </c>
      <c r="AT91" s="204">
        <f>W91/R91*100</f>
        <v>161.52694610778445</v>
      </c>
      <c r="AU91" s="204">
        <f>AQ91/W91*100</f>
        <v>100.00063330244053</v>
      </c>
      <c r="AV91" s="204">
        <f>AQ91/R91*100</f>
        <v>161.52796906187623</v>
      </c>
    </row>
    <row r="92" spans="1:48" ht="12" customHeight="1">
      <c r="A92" s="52"/>
      <c r="B92" s="53"/>
      <c r="C92" s="53"/>
      <c r="D92" s="53"/>
      <c r="E92" s="53"/>
      <c r="F92" s="53"/>
      <c r="G92" s="53"/>
      <c r="H92" s="64">
        <v>6382</v>
      </c>
      <c r="I92" s="117"/>
      <c r="J92" s="216"/>
      <c r="K92" s="18" t="s">
        <v>135</v>
      </c>
      <c r="L92" s="130">
        <v>0</v>
      </c>
      <c r="M92" s="130">
        <v>0</v>
      </c>
      <c r="N92" s="131">
        <v>508281</v>
      </c>
      <c r="O92" s="131">
        <f>N92/7.5345</f>
        <v>67460.481783794545</v>
      </c>
      <c r="P92" s="132">
        <v>265400</v>
      </c>
      <c r="Q92" s="163">
        <v>200400</v>
      </c>
      <c r="R92" s="164">
        <v>200400</v>
      </c>
      <c r="S92" s="165"/>
      <c r="T92" s="165"/>
      <c r="U92" s="90" t="e">
        <f t="shared" ca="1" si="61"/>
        <v>#NAME?</v>
      </c>
      <c r="V92" s="89">
        <v>323700</v>
      </c>
      <c r="W92" s="89">
        <v>323700</v>
      </c>
      <c r="X92" s="159"/>
      <c r="Y92" s="183"/>
      <c r="Z92" s="183"/>
      <c r="AA92" s="183"/>
      <c r="AB92" s="183"/>
      <c r="AC92" s="178"/>
      <c r="AD92" s="178"/>
      <c r="AE92" s="178"/>
      <c r="AF92" s="178">
        <f>P92/O92*100</f>
        <v>393.41551228552709</v>
      </c>
      <c r="AG92" s="178">
        <f>Q92/P92*100</f>
        <v>75.508666164280342</v>
      </c>
      <c r="AH92" s="178">
        <f>AC92/Q92*100</f>
        <v>0</v>
      </c>
      <c r="AI92" s="183"/>
      <c r="AJ92" s="183"/>
      <c r="AK92" s="171">
        <f t="shared" si="59"/>
        <v>161.52694610778445</v>
      </c>
      <c r="AL92" s="171">
        <f t="shared" si="60"/>
        <v>0</v>
      </c>
      <c r="AM92" s="171"/>
      <c r="AN92" s="187" t="e">
        <f ca="1">__xlfn.ISFORMULA(#REF!)</f>
        <v>#NAME?</v>
      </c>
      <c r="AO92" s="199" t="e">
        <f ca="1">__xlfn.ISFORMULA(#REF!)</f>
        <v>#NAME?</v>
      </c>
      <c r="AP92" s="193" t="e">
        <f t="shared" ca="1" si="22"/>
        <v>#NAME?</v>
      </c>
      <c r="AQ92" s="200">
        <v>323702.05</v>
      </c>
      <c r="AR92" s="204">
        <f>V92/R92*100</f>
        <v>161.52694610778445</v>
      </c>
      <c r="AS92" s="204">
        <f t="shared" si="54"/>
        <v>100</v>
      </c>
      <c r="AT92" s="204">
        <f>W92/R92*100</f>
        <v>161.52694610778445</v>
      </c>
      <c r="AU92" s="204">
        <f>AQ92/W92*100</f>
        <v>100.00063330244053</v>
      </c>
      <c r="AV92" s="204">
        <f>AQ92/R92*100</f>
        <v>161.52796906187623</v>
      </c>
    </row>
    <row r="93" spans="1:48" ht="12" customHeight="1">
      <c r="A93" s="52"/>
      <c r="B93" s="53"/>
      <c r="C93" s="53"/>
      <c r="D93" s="53"/>
      <c r="E93" s="53"/>
      <c r="F93" s="53"/>
      <c r="G93" s="53"/>
      <c r="H93" s="64"/>
      <c r="I93" s="117"/>
      <c r="J93" s="118"/>
      <c r="K93" s="18"/>
      <c r="L93" s="130"/>
      <c r="M93" s="130"/>
      <c r="N93" s="131"/>
      <c r="O93" s="131"/>
      <c r="P93" s="132"/>
      <c r="Q93" s="132"/>
      <c r="R93" s="164"/>
      <c r="S93" s="165"/>
      <c r="T93" s="165"/>
      <c r="U93" s="90" t="e">
        <f t="shared" ca="1" si="61"/>
        <v>#NAME?</v>
      </c>
      <c r="V93" s="89"/>
      <c r="W93" s="89"/>
      <c r="X93" s="159"/>
      <c r="Y93" s="183"/>
      <c r="Z93" s="183"/>
      <c r="AA93" s="183"/>
      <c r="AB93" s="183"/>
      <c r="AC93" s="178"/>
      <c r="AD93" s="178"/>
      <c r="AE93" s="178"/>
      <c r="AF93" s="178"/>
      <c r="AG93" s="178"/>
      <c r="AH93" s="178"/>
      <c r="AI93" s="183"/>
      <c r="AJ93" s="183"/>
      <c r="AK93" s="171"/>
      <c r="AL93" s="171"/>
      <c r="AM93" s="171"/>
      <c r="AN93" s="187" t="e">
        <f ca="1">__xlfn.ISFORMULA(#REF!)</f>
        <v>#NAME?</v>
      </c>
      <c r="AO93" s="199" t="e">
        <f ca="1">__xlfn.ISFORMULA(#REF!)</f>
        <v>#NAME?</v>
      </c>
      <c r="AP93" s="193" t="e">
        <f t="shared" ca="1" si="22"/>
        <v>#NAME?</v>
      </c>
      <c r="AQ93" s="200"/>
      <c r="AR93" s="204"/>
      <c r="AS93" s="204"/>
      <c r="AT93" s="204"/>
      <c r="AU93" s="204"/>
      <c r="AV93" s="204"/>
    </row>
    <row r="94" spans="1:48" ht="12" customHeight="1">
      <c r="A94" s="61"/>
      <c r="B94" s="62"/>
      <c r="C94" s="62"/>
      <c r="D94" s="62"/>
      <c r="E94" s="62"/>
      <c r="F94" s="62"/>
      <c r="G94" s="62"/>
      <c r="H94" s="63">
        <v>634</v>
      </c>
      <c r="I94" s="128"/>
      <c r="J94" s="129"/>
      <c r="K94" s="19" t="s">
        <v>136</v>
      </c>
      <c r="L94" s="112">
        <f t="shared" ref="L94:Q94" si="63">L95+L98</f>
        <v>2456691</v>
      </c>
      <c r="M94" s="112">
        <f t="shared" si="63"/>
        <v>326058.92892693612</v>
      </c>
      <c r="N94" s="113">
        <f t="shared" si="63"/>
        <v>675000</v>
      </c>
      <c r="O94" s="113">
        <f t="shared" si="63"/>
        <v>89587.89567987257</v>
      </c>
      <c r="P94" s="114">
        <f t="shared" si="63"/>
        <v>329250</v>
      </c>
      <c r="Q94" s="114">
        <f t="shared" si="63"/>
        <v>0</v>
      </c>
      <c r="R94" s="167">
        <v>0</v>
      </c>
      <c r="S94" s="90"/>
      <c r="T94" s="90"/>
      <c r="U94" s="90" t="e">
        <f t="shared" ca="1" si="61"/>
        <v>#NAME?</v>
      </c>
      <c r="V94" s="89">
        <f>SUM(V95+V98)</f>
        <v>133000</v>
      </c>
      <c r="W94" s="89">
        <f>SUM(W95+W98)</f>
        <v>133000</v>
      </c>
      <c r="X94" s="88">
        <f>SUM(X95+X98)</f>
        <v>75000</v>
      </c>
      <c r="Y94" s="171">
        <f>SUM(Y95+Y98)</f>
        <v>75000</v>
      </c>
      <c r="Z94" s="171"/>
      <c r="AA94" s="171"/>
      <c r="AB94" s="171"/>
      <c r="AC94" s="172">
        <f>AC95+AC98</f>
        <v>150000</v>
      </c>
      <c r="AD94" s="172">
        <f>AD95+AD98</f>
        <v>150000</v>
      </c>
      <c r="AE94" s="178">
        <f>O94/M94*100</f>
        <v>27.475982938025169</v>
      </c>
      <c r="AF94" s="178">
        <f>P94/O94*100</f>
        <v>367.51616666666672</v>
      </c>
      <c r="AG94" s="178">
        <f>Q94/P94*100</f>
        <v>0</v>
      </c>
      <c r="AH94" s="178"/>
      <c r="AI94" s="171"/>
      <c r="AJ94" s="171">
        <v>75000</v>
      </c>
      <c r="AK94" s="171"/>
      <c r="AL94" s="171">
        <f t="shared" si="60"/>
        <v>56.390977443609025</v>
      </c>
      <c r="AM94" s="171">
        <f>Y94/X94*100</f>
        <v>100</v>
      </c>
      <c r="AN94" s="187" t="e">
        <f ca="1">__xlfn.ISFORMULA(#REF!)</f>
        <v>#NAME?</v>
      </c>
      <c r="AO94" s="199" t="e">
        <f ca="1">__xlfn.ISFORMULA(#REF!)</f>
        <v>#NAME?</v>
      </c>
      <c r="AP94" s="193" t="e">
        <f t="shared" ca="1" si="22"/>
        <v>#NAME?</v>
      </c>
      <c r="AQ94" s="200">
        <f>SUM(AQ95+AQ98)</f>
        <v>132482.70000000001</v>
      </c>
      <c r="AR94" s="204"/>
      <c r="AS94" s="204">
        <f t="shared" si="54"/>
        <v>100</v>
      </c>
      <c r="AT94" s="204"/>
      <c r="AU94" s="204">
        <f>AQ94/W94*100</f>
        <v>99.611052631578957</v>
      </c>
      <c r="AV94" s="204"/>
    </row>
    <row r="95" spans="1:48" ht="12" customHeight="1">
      <c r="A95" s="52"/>
      <c r="B95" s="53"/>
      <c r="C95" s="53"/>
      <c r="D95" s="53"/>
      <c r="E95" s="53"/>
      <c r="F95" s="53"/>
      <c r="G95" s="53"/>
      <c r="H95" s="64">
        <v>6341</v>
      </c>
      <c r="I95" s="117"/>
      <c r="J95" s="118"/>
      <c r="K95" s="18" t="s">
        <v>137</v>
      </c>
      <c r="L95" s="112">
        <f t="shared" ref="L95:Q95" si="64">L96</f>
        <v>0</v>
      </c>
      <c r="M95" s="112">
        <f t="shared" si="64"/>
        <v>0</v>
      </c>
      <c r="N95" s="113">
        <f t="shared" si="64"/>
        <v>0</v>
      </c>
      <c r="O95" s="113">
        <f t="shared" si="64"/>
        <v>0</v>
      </c>
      <c r="P95" s="114">
        <f t="shared" si="64"/>
        <v>0</v>
      </c>
      <c r="Q95" s="114">
        <f t="shared" si="64"/>
        <v>0</v>
      </c>
      <c r="R95" s="167">
        <v>0</v>
      </c>
      <c r="S95" s="90"/>
      <c r="T95" s="90"/>
      <c r="U95" s="90" t="e">
        <f t="shared" ca="1" si="61"/>
        <v>#NAME?</v>
      </c>
      <c r="V95" s="89">
        <f>V96</f>
        <v>0</v>
      </c>
      <c r="W95" s="89">
        <f>W96</f>
        <v>0</v>
      </c>
      <c r="X95" s="88">
        <f>X96</f>
        <v>0</v>
      </c>
      <c r="Y95" s="171">
        <f>Y96</f>
        <v>0</v>
      </c>
      <c r="Z95" s="171"/>
      <c r="AA95" s="171"/>
      <c r="AB95" s="171"/>
      <c r="AC95" s="172">
        <f>AC96</f>
        <v>0</v>
      </c>
      <c r="AD95" s="172">
        <f>AD96</f>
        <v>0</v>
      </c>
      <c r="AE95" s="178"/>
      <c r="AF95" s="178"/>
      <c r="AG95" s="178"/>
      <c r="AH95" s="178"/>
      <c r="AI95" s="171"/>
      <c r="AJ95" s="171">
        <v>0</v>
      </c>
      <c r="AK95" s="171"/>
      <c r="AL95" s="171"/>
      <c r="AM95" s="171"/>
      <c r="AN95" s="187" t="e">
        <f ca="1">__xlfn.ISFORMULA(#REF!)</f>
        <v>#NAME?</v>
      </c>
      <c r="AO95" s="199" t="e">
        <f ca="1">__xlfn.ISFORMULA(#REF!)</f>
        <v>#NAME?</v>
      </c>
      <c r="AP95" s="193" t="e">
        <f t="shared" ca="1" si="22"/>
        <v>#NAME?</v>
      </c>
      <c r="AQ95" s="200">
        <f>AQ96</f>
        <v>0</v>
      </c>
      <c r="AR95" s="204"/>
      <c r="AS95" s="204"/>
      <c r="AT95" s="204"/>
      <c r="AU95" s="204"/>
      <c r="AV95" s="204"/>
    </row>
    <row r="96" spans="1:48" ht="12" customHeight="1">
      <c r="A96" s="52"/>
      <c r="B96" s="53"/>
      <c r="C96" s="53"/>
      <c r="D96" s="53"/>
      <c r="E96" s="53"/>
      <c r="F96" s="53"/>
      <c r="G96" s="53"/>
      <c r="H96" s="64">
        <v>63414</v>
      </c>
      <c r="I96" s="117"/>
      <c r="J96" s="118"/>
      <c r="K96" s="18" t="s">
        <v>138</v>
      </c>
      <c r="L96" s="130">
        <v>0</v>
      </c>
      <c r="M96" s="130">
        <v>0</v>
      </c>
      <c r="N96" s="131">
        <v>0</v>
      </c>
      <c r="O96" s="131">
        <v>0</v>
      </c>
      <c r="P96" s="132">
        <v>0</v>
      </c>
      <c r="Q96" s="132">
        <v>0</v>
      </c>
      <c r="R96" s="164">
        <v>0</v>
      </c>
      <c r="S96" s="165"/>
      <c r="T96" s="165"/>
      <c r="U96" s="90" t="e">
        <f t="shared" ca="1" si="61"/>
        <v>#NAME?</v>
      </c>
      <c r="V96" s="89"/>
      <c r="W96" s="89"/>
      <c r="X96" s="159"/>
      <c r="Y96" s="183"/>
      <c r="Z96" s="183"/>
      <c r="AA96" s="183"/>
      <c r="AB96" s="183"/>
      <c r="AC96" s="178"/>
      <c r="AD96" s="178"/>
      <c r="AE96" s="178"/>
      <c r="AF96" s="178"/>
      <c r="AG96" s="178"/>
      <c r="AH96" s="178"/>
      <c r="AI96" s="183"/>
      <c r="AJ96" s="183"/>
      <c r="AK96" s="171"/>
      <c r="AL96" s="171"/>
      <c r="AM96" s="171"/>
      <c r="AN96" s="187" t="e">
        <f ca="1">__xlfn.ISFORMULA(#REF!)</f>
        <v>#NAME?</v>
      </c>
      <c r="AO96" s="199" t="e">
        <f ca="1">__xlfn.ISFORMULA(#REF!)</f>
        <v>#NAME?</v>
      </c>
      <c r="AP96" s="193" t="e">
        <f t="shared" ca="1" si="22"/>
        <v>#NAME?</v>
      </c>
      <c r="AQ96" s="200"/>
      <c r="AR96" s="204"/>
      <c r="AS96" s="204"/>
      <c r="AT96" s="204"/>
      <c r="AU96" s="204"/>
      <c r="AV96" s="204"/>
    </row>
    <row r="97" spans="1:48" ht="12" customHeight="1">
      <c r="A97" s="47"/>
      <c r="B97" s="42"/>
      <c r="C97" s="42"/>
      <c r="D97" s="42"/>
      <c r="E97" s="42"/>
      <c r="F97" s="42"/>
      <c r="G97" s="42"/>
      <c r="H97" s="38"/>
      <c r="I97" s="73"/>
      <c r="J97" s="91"/>
      <c r="K97" s="84"/>
      <c r="L97" s="85"/>
      <c r="M97" s="85"/>
      <c r="N97" s="86"/>
      <c r="O97" s="86"/>
      <c r="P97" s="87"/>
      <c r="Q97" s="87"/>
      <c r="R97" s="168"/>
      <c r="S97" s="161"/>
      <c r="T97" s="161"/>
      <c r="U97" s="90" t="e">
        <f t="shared" ca="1" si="61"/>
        <v>#NAME?</v>
      </c>
      <c r="V97" s="89"/>
      <c r="W97" s="89"/>
      <c r="X97" s="162"/>
      <c r="Y97" s="181"/>
      <c r="Z97" s="181"/>
      <c r="AA97" s="181"/>
      <c r="AB97" s="181"/>
      <c r="AC97" s="182"/>
      <c r="AD97" s="182"/>
      <c r="AE97" s="178"/>
      <c r="AF97" s="178"/>
      <c r="AG97" s="178"/>
      <c r="AH97" s="178"/>
      <c r="AI97" s="181"/>
      <c r="AJ97" s="181"/>
      <c r="AK97" s="171"/>
      <c r="AL97" s="171"/>
      <c r="AM97" s="171"/>
      <c r="AN97" s="187" t="e">
        <f ca="1">__xlfn.ISFORMULA(#REF!)</f>
        <v>#NAME?</v>
      </c>
      <c r="AO97" s="199" t="e">
        <f ca="1">__xlfn.ISFORMULA(#REF!)</f>
        <v>#NAME?</v>
      </c>
      <c r="AP97" s="193" t="e">
        <f t="shared" ca="1" si="22"/>
        <v>#NAME?</v>
      </c>
      <c r="AQ97" s="200"/>
      <c r="AR97" s="204"/>
      <c r="AS97" s="204"/>
      <c r="AT97" s="204"/>
      <c r="AU97" s="204"/>
      <c r="AV97" s="204"/>
    </row>
    <row r="98" spans="1:48" ht="12" customHeight="1">
      <c r="A98" s="52"/>
      <c r="B98" s="53"/>
      <c r="C98" s="53"/>
      <c r="D98" s="53"/>
      <c r="E98" s="53"/>
      <c r="F98" s="53"/>
      <c r="G98" s="53"/>
      <c r="H98" s="64">
        <v>6342</v>
      </c>
      <c r="I98" s="117"/>
      <c r="J98" s="118"/>
      <c r="K98" s="18" t="s">
        <v>139</v>
      </c>
      <c r="L98" s="112">
        <f t="shared" ref="L98:Q98" si="65">L99+L100+L101</f>
        <v>2456691</v>
      </c>
      <c r="M98" s="112">
        <f t="shared" si="65"/>
        <v>326058.92892693612</v>
      </c>
      <c r="N98" s="113">
        <f t="shared" si="65"/>
        <v>675000</v>
      </c>
      <c r="O98" s="113">
        <f t="shared" si="65"/>
        <v>89587.89567987257</v>
      </c>
      <c r="P98" s="114">
        <f t="shared" si="65"/>
        <v>329250</v>
      </c>
      <c r="Q98" s="114">
        <f t="shared" si="65"/>
        <v>0</v>
      </c>
      <c r="R98" s="167">
        <v>0</v>
      </c>
      <c r="S98" s="90"/>
      <c r="T98" s="90"/>
      <c r="U98" s="90" t="e">
        <f t="shared" ca="1" si="61"/>
        <v>#NAME?</v>
      </c>
      <c r="V98" s="89">
        <v>133000</v>
      </c>
      <c r="W98" s="89">
        <v>133000</v>
      </c>
      <c r="X98" s="88">
        <f>X99+X100+X101</f>
        <v>75000</v>
      </c>
      <c r="Y98" s="171">
        <f>Y99+Y100+Y101</f>
        <v>75000</v>
      </c>
      <c r="Z98" s="171"/>
      <c r="AA98" s="171"/>
      <c r="AB98" s="171"/>
      <c r="AC98" s="172">
        <f>AC99+AC100+AC101</f>
        <v>150000</v>
      </c>
      <c r="AD98" s="172">
        <f>AD99+AD100+AD101</f>
        <v>150000</v>
      </c>
      <c r="AE98" s="178">
        <f>O98/M98*100</f>
        <v>27.475982938025169</v>
      </c>
      <c r="AF98" s="178">
        <f>P98/O98*100</f>
        <v>367.51616666666672</v>
      </c>
      <c r="AG98" s="178">
        <f>Q98/P98*100</f>
        <v>0</v>
      </c>
      <c r="AH98" s="178"/>
      <c r="AI98" s="171"/>
      <c r="AJ98" s="171">
        <v>75000</v>
      </c>
      <c r="AK98" s="171"/>
      <c r="AL98" s="171">
        <f t="shared" si="60"/>
        <v>56.390977443609025</v>
      </c>
      <c r="AM98" s="171">
        <f>Y98/X98*100</f>
        <v>100</v>
      </c>
      <c r="AN98" s="187" t="e">
        <f ca="1">__xlfn.ISFORMULA(#REF!)</f>
        <v>#NAME?</v>
      </c>
      <c r="AO98" s="199" t="e">
        <f ca="1">__xlfn.ISFORMULA(#REF!)</f>
        <v>#NAME?</v>
      </c>
      <c r="AP98" s="193" t="e">
        <f t="shared" ca="1" si="22"/>
        <v>#NAME?</v>
      </c>
      <c r="AQ98" s="200">
        <f>AQ99+AQ100+AQ101</f>
        <v>132482.70000000001</v>
      </c>
      <c r="AR98" s="204"/>
      <c r="AS98" s="204">
        <f t="shared" si="54"/>
        <v>100</v>
      </c>
      <c r="AT98" s="204"/>
      <c r="AU98" s="204">
        <f>AQ98/W98*100</f>
        <v>99.611052631578957</v>
      </c>
      <c r="AV98" s="204"/>
    </row>
    <row r="99" spans="1:48" ht="12" customHeight="1">
      <c r="A99" s="52"/>
      <c r="B99" s="53"/>
      <c r="C99" s="53"/>
      <c r="D99" s="53"/>
      <c r="E99" s="53"/>
      <c r="F99" s="53"/>
      <c r="G99" s="53"/>
      <c r="H99" s="64">
        <v>63425</v>
      </c>
      <c r="I99" s="117"/>
      <c r="J99" s="118"/>
      <c r="K99" s="18" t="s">
        <v>140</v>
      </c>
      <c r="L99" s="130">
        <v>1756691</v>
      </c>
      <c r="M99" s="130">
        <f>1756691/7.5345</f>
        <v>233152.96303669785</v>
      </c>
      <c r="N99" s="131">
        <v>195000</v>
      </c>
      <c r="O99" s="131">
        <f>N99/7.5345</f>
        <v>25880.947640852079</v>
      </c>
      <c r="P99" s="132">
        <v>309250</v>
      </c>
      <c r="Q99" s="163">
        <v>0</v>
      </c>
      <c r="R99" s="164">
        <v>0</v>
      </c>
      <c r="S99" s="165"/>
      <c r="T99" s="165"/>
      <c r="U99" s="90" t="e">
        <f t="shared" ca="1" si="61"/>
        <v>#NAME?</v>
      </c>
      <c r="V99" s="89">
        <v>133000</v>
      </c>
      <c r="W99" s="89">
        <v>133000</v>
      </c>
      <c r="X99" s="159">
        <v>75000</v>
      </c>
      <c r="Y99" s="183">
        <v>75000</v>
      </c>
      <c r="Z99" s="183"/>
      <c r="AA99" s="183"/>
      <c r="AB99" s="183"/>
      <c r="AC99" s="178">
        <v>150000</v>
      </c>
      <c r="AD99" s="178">
        <v>150000</v>
      </c>
      <c r="AE99" s="178">
        <f>O99/M99*100</f>
        <v>11.100415497090836</v>
      </c>
      <c r="AF99" s="178"/>
      <c r="AG99" s="178"/>
      <c r="AH99" s="178"/>
      <c r="AI99" s="183"/>
      <c r="AJ99" s="183">
        <v>75000</v>
      </c>
      <c r="AK99" s="171"/>
      <c r="AL99" s="171">
        <f t="shared" si="60"/>
        <v>56.390977443609025</v>
      </c>
      <c r="AM99" s="171">
        <f>Y99/X99*100</f>
        <v>100</v>
      </c>
      <c r="AN99" s="187" t="e">
        <f ca="1">__xlfn.ISFORMULA(#REF!)</f>
        <v>#NAME?</v>
      </c>
      <c r="AO99" s="199" t="e">
        <f ca="1">__xlfn.ISFORMULA(#REF!)</f>
        <v>#NAME?</v>
      </c>
      <c r="AP99" s="193" t="e">
        <f t="shared" ca="1" si="22"/>
        <v>#NAME?</v>
      </c>
      <c r="AQ99" s="200">
        <v>132482.70000000001</v>
      </c>
      <c r="AR99" s="204"/>
      <c r="AS99" s="204">
        <f t="shared" si="54"/>
        <v>100</v>
      </c>
      <c r="AT99" s="204"/>
      <c r="AU99" s="204">
        <f>AQ99/W99*100</f>
        <v>99.611052631578957</v>
      </c>
      <c r="AV99" s="204"/>
    </row>
    <row r="100" spans="1:48" ht="12" customHeight="1">
      <c r="A100" s="52"/>
      <c r="B100" s="53"/>
      <c r="C100" s="53"/>
      <c r="D100" s="53"/>
      <c r="E100" s="53"/>
      <c r="F100" s="53"/>
      <c r="G100" s="53"/>
      <c r="H100" s="64">
        <v>63426</v>
      </c>
      <c r="I100" s="117"/>
      <c r="J100" s="118"/>
      <c r="K100" s="18" t="s">
        <v>141</v>
      </c>
      <c r="L100" s="130">
        <v>500000</v>
      </c>
      <c r="M100" s="130">
        <f>500000/7.5345</f>
        <v>66361.404207313026</v>
      </c>
      <c r="N100" s="131">
        <v>300000</v>
      </c>
      <c r="O100" s="131">
        <f>N100/7.5345</f>
        <v>39816.842524387816</v>
      </c>
      <c r="P100" s="132">
        <v>20000</v>
      </c>
      <c r="Q100" s="163">
        <v>0</v>
      </c>
      <c r="R100" s="164">
        <v>0</v>
      </c>
      <c r="S100" s="165"/>
      <c r="T100" s="165"/>
      <c r="U100" s="90" t="e">
        <f t="shared" ca="1" si="61"/>
        <v>#NAME?</v>
      </c>
      <c r="V100" s="89"/>
      <c r="W100" s="89"/>
      <c r="X100" s="159"/>
      <c r="Y100" s="183"/>
      <c r="Z100" s="183"/>
      <c r="AA100" s="183"/>
      <c r="AB100" s="183"/>
      <c r="AC100" s="178">
        <v>0</v>
      </c>
      <c r="AD100" s="178">
        <v>0</v>
      </c>
      <c r="AE100" s="178">
        <f>O100/M100*100</f>
        <v>60</v>
      </c>
      <c r="AF100" s="178"/>
      <c r="AG100" s="178"/>
      <c r="AH100" s="178"/>
      <c r="AI100" s="183"/>
      <c r="AJ100" s="183"/>
      <c r="AK100" s="171"/>
      <c r="AL100" s="171"/>
      <c r="AM100" s="171"/>
      <c r="AN100" s="187" t="e">
        <f ca="1">__xlfn.ISFORMULA(#REF!)</f>
        <v>#NAME?</v>
      </c>
      <c r="AO100" s="199" t="e">
        <f ca="1">__xlfn.ISFORMULA(#REF!)</f>
        <v>#NAME?</v>
      </c>
      <c r="AP100" s="193" t="e">
        <f t="shared" ca="1" si="22"/>
        <v>#NAME?</v>
      </c>
      <c r="AQ100" s="200"/>
      <c r="AR100" s="204"/>
      <c r="AS100" s="204"/>
      <c r="AT100" s="204"/>
      <c r="AU100" s="204"/>
      <c r="AV100" s="204"/>
    </row>
    <row r="101" spans="1:48" ht="12" customHeight="1">
      <c r="A101" s="52"/>
      <c r="B101" s="53"/>
      <c r="C101" s="53"/>
      <c r="D101" s="53"/>
      <c r="E101" s="53"/>
      <c r="F101" s="53"/>
      <c r="G101" s="53"/>
      <c r="H101" s="64">
        <v>63426</v>
      </c>
      <c r="I101" s="117"/>
      <c r="J101" s="118"/>
      <c r="K101" s="133" t="s">
        <v>142</v>
      </c>
      <c r="L101" s="130">
        <v>200000</v>
      </c>
      <c r="M101" s="130">
        <f>200000/7.5345</f>
        <v>26544.56168292521</v>
      </c>
      <c r="N101" s="131">
        <v>180000</v>
      </c>
      <c r="O101" s="131">
        <f>N101/7.5345</f>
        <v>23890.105514632687</v>
      </c>
      <c r="P101" s="132">
        <v>0</v>
      </c>
      <c r="Q101" s="132">
        <v>0</v>
      </c>
      <c r="R101" s="164">
        <v>0</v>
      </c>
      <c r="S101" s="165"/>
      <c r="T101" s="165"/>
      <c r="U101" s="90" t="e">
        <f t="shared" ca="1" si="61"/>
        <v>#NAME?</v>
      </c>
      <c r="V101" s="89"/>
      <c r="W101" s="89"/>
      <c r="X101" s="159"/>
      <c r="Y101" s="183"/>
      <c r="Z101" s="183"/>
      <c r="AA101" s="183"/>
      <c r="AB101" s="183"/>
      <c r="AC101" s="178">
        <v>0</v>
      </c>
      <c r="AD101" s="178">
        <v>0</v>
      </c>
      <c r="AE101" s="178">
        <f>O101/M101*100</f>
        <v>89.999999999999986</v>
      </c>
      <c r="AF101" s="178">
        <f>P101/O101*100</f>
        <v>0</v>
      </c>
      <c r="AG101" s="178"/>
      <c r="AH101" s="178"/>
      <c r="AI101" s="183"/>
      <c r="AJ101" s="183"/>
      <c r="AK101" s="171"/>
      <c r="AL101" s="171"/>
      <c r="AM101" s="171"/>
      <c r="AN101" s="187" t="e">
        <f ca="1">__xlfn.ISFORMULA(#REF!)</f>
        <v>#NAME?</v>
      </c>
      <c r="AO101" s="199" t="e">
        <f ca="1">__xlfn.ISFORMULA(#REF!)</f>
        <v>#NAME?</v>
      </c>
      <c r="AP101" s="193" t="e">
        <f t="shared" ca="1" si="22"/>
        <v>#NAME?</v>
      </c>
      <c r="AQ101" s="200"/>
      <c r="AR101" s="204"/>
      <c r="AS101" s="204"/>
      <c r="AT101" s="204"/>
      <c r="AU101" s="204"/>
      <c r="AV101" s="204"/>
    </row>
    <row r="102" spans="1:48" ht="12" customHeight="1">
      <c r="A102" s="47"/>
      <c r="B102" s="42"/>
      <c r="C102" s="42"/>
      <c r="D102" s="42"/>
      <c r="E102" s="42"/>
      <c r="F102" s="42"/>
      <c r="G102" s="42"/>
      <c r="H102" s="38"/>
      <c r="I102" s="73"/>
      <c r="J102" s="74"/>
      <c r="K102" s="84"/>
      <c r="L102" s="85"/>
      <c r="M102" s="85"/>
      <c r="N102" s="86"/>
      <c r="O102" s="86"/>
      <c r="P102" s="87"/>
      <c r="Q102" s="87"/>
      <c r="R102" s="168"/>
      <c r="S102" s="161"/>
      <c r="T102" s="161"/>
      <c r="U102" s="90" t="e">
        <f t="shared" ca="1" si="61"/>
        <v>#NAME?</v>
      </c>
      <c r="V102" s="89"/>
      <c r="W102" s="89"/>
      <c r="X102" s="162"/>
      <c r="Y102" s="181"/>
      <c r="Z102" s="181"/>
      <c r="AA102" s="181"/>
      <c r="AB102" s="181"/>
      <c r="AC102" s="182"/>
      <c r="AD102" s="182"/>
      <c r="AE102" s="178"/>
      <c r="AF102" s="178"/>
      <c r="AG102" s="178"/>
      <c r="AH102" s="178"/>
      <c r="AI102" s="181"/>
      <c r="AJ102" s="181"/>
      <c r="AK102" s="171"/>
      <c r="AL102" s="171"/>
      <c r="AM102" s="171"/>
      <c r="AN102" s="187" t="e">
        <f ca="1">__xlfn.ISFORMULA(#REF!)</f>
        <v>#NAME?</v>
      </c>
      <c r="AO102" s="199" t="e">
        <f ca="1">__xlfn.ISFORMULA(#REF!)</f>
        <v>#NAME?</v>
      </c>
      <c r="AP102" s="193" t="e">
        <f t="shared" ca="1" si="22"/>
        <v>#NAME?</v>
      </c>
      <c r="AQ102" s="200"/>
      <c r="AR102" s="204"/>
      <c r="AS102" s="204"/>
      <c r="AT102" s="204"/>
      <c r="AU102" s="204"/>
      <c r="AV102" s="204"/>
    </row>
    <row r="103" spans="1:48" ht="12" customHeight="1">
      <c r="A103" s="58"/>
      <c r="B103" s="59"/>
      <c r="C103" s="59"/>
      <c r="D103" s="59"/>
      <c r="E103" s="59"/>
      <c r="F103" s="59"/>
      <c r="G103" s="59"/>
      <c r="H103" s="60">
        <v>64</v>
      </c>
      <c r="I103" s="125"/>
      <c r="J103" s="126"/>
      <c r="K103" s="127" t="s">
        <v>143</v>
      </c>
      <c r="L103" s="112">
        <f t="shared" ref="L103:Q103" si="66">L105+L114</f>
        <v>1448520</v>
      </c>
      <c r="M103" s="112">
        <f t="shared" si="66"/>
        <v>192251.64244475411</v>
      </c>
      <c r="N103" s="113">
        <f t="shared" si="66"/>
        <v>1973206</v>
      </c>
      <c r="O103" s="113">
        <f t="shared" si="66"/>
        <v>261889.44190059058</v>
      </c>
      <c r="P103" s="114">
        <f t="shared" si="66"/>
        <v>186370</v>
      </c>
      <c r="Q103" s="114">
        <f t="shared" si="66"/>
        <v>183670</v>
      </c>
      <c r="R103" s="167">
        <v>183670</v>
      </c>
      <c r="S103" s="90"/>
      <c r="T103" s="90"/>
      <c r="U103" s="90" t="e">
        <f t="shared" ca="1" si="61"/>
        <v>#NAME?</v>
      </c>
      <c r="V103" s="89">
        <f>V105+V114</f>
        <v>228730</v>
      </c>
      <c r="W103" s="89">
        <f>W105+W114</f>
        <v>228730</v>
      </c>
      <c r="X103" s="88">
        <f>X105+X114</f>
        <v>281720</v>
      </c>
      <c r="Y103" s="171">
        <f>Y105+Y114</f>
        <v>327720</v>
      </c>
      <c r="Z103" s="171"/>
      <c r="AA103" s="171"/>
      <c r="AB103" s="171"/>
      <c r="AC103" s="172">
        <f>AC105+AC114</f>
        <v>234670</v>
      </c>
      <c r="AD103" s="172">
        <f>AD105+AD114</f>
        <v>234670</v>
      </c>
      <c r="AE103" s="178">
        <f>O103/M103*100</f>
        <v>136.22221301742468</v>
      </c>
      <c r="AF103" s="178">
        <f>P103/O103*100</f>
        <v>71.163617230030724</v>
      </c>
      <c r="AG103" s="178">
        <f>Q103/P103*100</f>
        <v>98.551268981059181</v>
      </c>
      <c r="AH103" s="178">
        <f>AC103/Q103*100</f>
        <v>127.76719115805521</v>
      </c>
      <c r="AI103" s="171"/>
      <c r="AJ103" s="171">
        <v>327720</v>
      </c>
      <c r="AK103" s="171">
        <f t="shared" si="59"/>
        <v>124.53313007023465</v>
      </c>
      <c r="AL103" s="171">
        <f t="shared" si="60"/>
        <v>123.16705285708041</v>
      </c>
      <c r="AM103" s="171">
        <f>Y103/X103*100</f>
        <v>116.32826920346444</v>
      </c>
      <c r="AN103" s="187" t="e">
        <f ca="1">__xlfn.ISFORMULA(#REF!)</f>
        <v>#NAME?</v>
      </c>
      <c r="AO103" s="199" t="e">
        <f ca="1">__xlfn.ISFORMULA(#REF!)</f>
        <v>#NAME?</v>
      </c>
      <c r="AP103" s="193" t="e">
        <f t="shared" ca="1" si="22"/>
        <v>#NAME?</v>
      </c>
      <c r="AQ103" s="200">
        <f>AQ105+AQ114</f>
        <v>204299.08</v>
      </c>
      <c r="AR103" s="204">
        <f>V103/R103*100</f>
        <v>124.53313007023465</v>
      </c>
      <c r="AS103" s="204">
        <f t="shared" si="54"/>
        <v>100</v>
      </c>
      <c r="AT103" s="204">
        <f>W103/R103*100</f>
        <v>124.53313007023465</v>
      </c>
      <c r="AU103" s="204">
        <f>AQ103/W103*100</f>
        <v>89.3188825252481</v>
      </c>
      <c r="AV103" s="204">
        <f>AQ103/R103*100</f>
        <v>111.23160015244731</v>
      </c>
    </row>
    <row r="104" spans="1:48" ht="12" customHeight="1">
      <c r="A104" s="52"/>
      <c r="B104" s="53"/>
      <c r="C104" s="53"/>
      <c r="D104" s="53"/>
      <c r="E104" s="53"/>
      <c r="F104" s="53"/>
      <c r="G104" s="53"/>
      <c r="H104" s="64"/>
      <c r="I104" s="117"/>
      <c r="J104" s="118"/>
      <c r="K104" s="18"/>
      <c r="L104" s="119"/>
      <c r="M104" s="119"/>
      <c r="N104" s="120"/>
      <c r="O104" s="120"/>
      <c r="P104" s="121"/>
      <c r="Q104" s="121"/>
      <c r="R104" s="220"/>
      <c r="S104" s="158"/>
      <c r="T104" s="158"/>
      <c r="U104" s="90" t="e">
        <f t="shared" ca="1" si="61"/>
        <v>#NAME?</v>
      </c>
      <c r="V104" s="89"/>
      <c r="W104" s="89"/>
      <c r="X104" s="159"/>
      <c r="Y104" s="179"/>
      <c r="Z104" s="179"/>
      <c r="AA104" s="179"/>
      <c r="AB104" s="179"/>
      <c r="AC104" s="180"/>
      <c r="AD104" s="180"/>
      <c r="AE104" s="178"/>
      <c r="AF104" s="178"/>
      <c r="AG104" s="178"/>
      <c r="AH104" s="178"/>
      <c r="AI104" s="179"/>
      <c r="AJ104" s="179"/>
      <c r="AK104" s="171"/>
      <c r="AL104" s="171"/>
      <c r="AM104" s="171"/>
      <c r="AN104" s="187" t="e">
        <f ca="1">__xlfn.ISFORMULA(#REF!)</f>
        <v>#NAME?</v>
      </c>
      <c r="AO104" s="199" t="e">
        <f ca="1">__xlfn.ISFORMULA(#REF!)</f>
        <v>#NAME?</v>
      </c>
      <c r="AP104" s="193" t="e">
        <f t="shared" ca="1" si="22"/>
        <v>#NAME?</v>
      </c>
      <c r="AQ104" s="200"/>
      <c r="AR104" s="204"/>
      <c r="AS104" s="204"/>
      <c r="AT104" s="204"/>
      <c r="AU104" s="204"/>
      <c r="AV104" s="204"/>
    </row>
    <row r="105" spans="1:48" ht="12" customHeight="1">
      <c r="A105" s="61"/>
      <c r="B105" s="62"/>
      <c r="C105" s="62"/>
      <c r="D105" s="62"/>
      <c r="E105" s="62"/>
      <c r="F105" s="62"/>
      <c r="G105" s="62"/>
      <c r="H105" s="63">
        <v>641</v>
      </c>
      <c r="I105" s="128"/>
      <c r="J105" s="129"/>
      <c r="K105" s="19" t="s">
        <v>144</v>
      </c>
      <c r="L105" s="112">
        <f t="shared" ref="L105:Q105" si="67">L106+L109+L111</f>
        <v>4787</v>
      </c>
      <c r="M105" s="112">
        <f t="shared" si="67"/>
        <v>635.34408388081488</v>
      </c>
      <c r="N105" s="113">
        <f t="shared" si="67"/>
        <v>22</v>
      </c>
      <c r="O105" s="113">
        <f t="shared" si="67"/>
        <v>2.9199017851217732</v>
      </c>
      <c r="P105" s="114">
        <f t="shared" si="67"/>
        <v>8050</v>
      </c>
      <c r="Q105" s="114">
        <f t="shared" si="67"/>
        <v>8050</v>
      </c>
      <c r="R105" s="167">
        <v>8050</v>
      </c>
      <c r="S105" s="90"/>
      <c r="T105" s="90"/>
      <c r="U105" s="90" t="e">
        <f t="shared" ca="1" si="61"/>
        <v>#NAME?</v>
      </c>
      <c r="V105" s="89">
        <f>V106</f>
        <v>10</v>
      </c>
      <c r="W105" s="89">
        <f t="shared" ref="W105:Y106" si="68">W106</f>
        <v>10</v>
      </c>
      <c r="X105" s="88">
        <f t="shared" si="68"/>
        <v>0</v>
      </c>
      <c r="Y105" s="171">
        <f t="shared" si="68"/>
        <v>0</v>
      </c>
      <c r="Z105" s="171"/>
      <c r="AA105" s="171"/>
      <c r="AB105" s="171"/>
      <c r="AC105" s="172">
        <f>AC106+AC109+AC111</f>
        <v>60050</v>
      </c>
      <c r="AD105" s="172">
        <f>AD106+AD109+AD111</f>
        <v>60050</v>
      </c>
      <c r="AE105" s="178"/>
      <c r="AF105" s="178"/>
      <c r="AG105" s="178">
        <f>Q105/P105*100</f>
        <v>100</v>
      </c>
      <c r="AH105" s="178">
        <f>AC105/Q105*100</f>
        <v>745.96273291925468</v>
      </c>
      <c r="AI105" s="171"/>
      <c r="AJ105" s="171">
        <v>0</v>
      </c>
      <c r="AK105" s="171">
        <f t="shared" si="59"/>
        <v>0.12422360248447205</v>
      </c>
      <c r="AL105" s="171">
        <f t="shared" si="60"/>
        <v>0</v>
      </c>
      <c r="AM105" s="171"/>
      <c r="AN105" s="187" t="e">
        <f ca="1">__xlfn.ISFORMULA(#REF!)</f>
        <v>#NAME?</v>
      </c>
      <c r="AO105" s="199" t="e">
        <f ca="1">__xlfn.ISFORMULA(#REF!)</f>
        <v>#NAME?</v>
      </c>
      <c r="AP105" s="193" t="e">
        <f t="shared" ca="1" si="22"/>
        <v>#NAME?</v>
      </c>
      <c r="AQ105" s="200">
        <f>AQ106</f>
        <v>1.73</v>
      </c>
      <c r="AR105" s="204">
        <f>V105/R105*100</f>
        <v>0.12422360248447205</v>
      </c>
      <c r="AS105" s="204">
        <f t="shared" si="54"/>
        <v>100</v>
      </c>
      <c r="AT105" s="204">
        <f>W105/R105*100</f>
        <v>0.12422360248447205</v>
      </c>
      <c r="AU105" s="204">
        <f>AQ105/W105*100</f>
        <v>17.299999999999997</v>
      </c>
      <c r="AV105" s="204">
        <f>AQ105/R105*100</f>
        <v>2.1490683229813665E-2</v>
      </c>
    </row>
    <row r="106" spans="1:48" ht="12" customHeight="1">
      <c r="A106" s="52"/>
      <c r="B106" s="53"/>
      <c r="C106" s="53"/>
      <c r="D106" s="53"/>
      <c r="E106" s="53"/>
      <c r="F106" s="53"/>
      <c r="G106" s="53"/>
      <c r="H106" s="64">
        <v>6413</v>
      </c>
      <c r="I106" s="117"/>
      <c r="J106" s="118"/>
      <c r="K106" s="18" t="s">
        <v>145</v>
      </c>
      <c r="L106" s="112">
        <f t="shared" ref="L106:Q106" si="69">L107</f>
        <v>6</v>
      </c>
      <c r="M106" s="112">
        <f t="shared" si="69"/>
        <v>0.79633685048775626</v>
      </c>
      <c r="N106" s="113">
        <f t="shared" si="69"/>
        <v>1</v>
      </c>
      <c r="O106" s="113">
        <f t="shared" si="69"/>
        <v>0.13272280841462605</v>
      </c>
      <c r="P106" s="114">
        <f t="shared" si="69"/>
        <v>50</v>
      </c>
      <c r="Q106" s="114">
        <f t="shared" si="69"/>
        <v>50</v>
      </c>
      <c r="R106" s="167">
        <v>50</v>
      </c>
      <c r="S106" s="90"/>
      <c r="T106" s="90"/>
      <c r="U106" s="90" t="e">
        <f t="shared" ca="1" si="61"/>
        <v>#NAME?</v>
      </c>
      <c r="V106" s="89">
        <f>V107</f>
        <v>10</v>
      </c>
      <c r="W106" s="89">
        <f t="shared" si="68"/>
        <v>10</v>
      </c>
      <c r="X106" s="88">
        <f t="shared" si="68"/>
        <v>0</v>
      </c>
      <c r="Y106" s="171">
        <f t="shared" si="68"/>
        <v>0</v>
      </c>
      <c r="Z106" s="171"/>
      <c r="AA106" s="171"/>
      <c r="AB106" s="171"/>
      <c r="AC106" s="172">
        <f>AC107</f>
        <v>50</v>
      </c>
      <c r="AD106" s="172">
        <f>AD107</f>
        <v>50</v>
      </c>
      <c r="AE106" s="178"/>
      <c r="AF106" s="178"/>
      <c r="AG106" s="178">
        <f>Q106/P106*100</f>
        <v>100</v>
      </c>
      <c r="AH106" s="178">
        <f>AC106/Q106*100</f>
        <v>100</v>
      </c>
      <c r="AI106" s="171"/>
      <c r="AJ106" s="171">
        <v>0</v>
      </c>
      <c r="AK106" s="171">
        <f t="shared" si="59"/>
        <v>20</v>
      </c>
      <c r="AL106" s="171">
        <f t="shared" si="60"/>
        <v>0</v>
      </c>
      <c r="AM106" s="171"/>
      <c r="AN106" s="187" t="e">
        <f ca="1">__xlfn.ISFORMULA(#REF!)</f>
        <v>#NAME?</v>
      </c>
      <c r="AO106" s="199" t="e">
        <f ca="1">__xlfn.ISFORMULA(#REF!)</f>
        <v>#NAME?</v>
      </c>
      <c r="AP106" s="193" t="e">
        <f t="shared" ca="1" si="22"/>
        <v>#NAME?</v>
      </c>
      <c r="AQ106" s="200">
        <f>AQ107</f>
        <v>1.73</v>
      </c>
      <c r="AR106" s="204">
        <f>V106/R106*100</f>
        <v>20</v>
      </c>
      <c r="AS106" s="204">
        <f t="shared" si="54"/>
        <v>100</v>
      </c>
      <c r="AT106" s="204">
        <f>W106/R106*100</f>
        <v>20</v>
      </c>
      <c r="AU106" s="204">
        <f>AQ106/W106*100</f>
        <v>17.299999999999997</v>
      </c>
      <c r="AV106" s="204">
        <f>AQ106/R106*100</f>
        <v>3.46</v>
      </c>
    </row>
    <row r="107" spans="1:48" ht="12" customHeight="1">
      <c r="A107" s="52"/>
      <c r="B107" s="53"/>
      <c r="C107" s="53"/>
      <c r="D107" s="53"/>
      <c r="E107" s="53"/>
      <c r="F107" s="53"/>
      <c r="G107" s="53"/>
      <c r="H107" s="64">
        <v>64132</v>
      </c>
      <c r="I107" s="117"/>
      <c r="J107" s="118"/>
      <c r="K107" s="18" t="s">
        <v>146</v>
      </c>
      <c r="L107" s="130">
        <v>6</v>
      </c>
      <c r="M107" s="130">
        <f>6/7.5345</f>
        <v>0.79633685048775626</v>
      </c>
      <c r="N107" s="131">
        <v>1</v>
      </c>
      <c r="O107" s="131">
        <f>N107/7.5345</f>
        <v>0.13272280841462605</v>
      </c>
      <c r="P107" s="132">
        <v>50</v>
      </c>
      <c r="Q107" s="132">
        <v>50</v>
      </c>
      <c r="R107" s="164">
        <v>50</v>
      </c>
      <c r="S107" s="165"/>
      <c r="T107" s="165"/>
      <c r="U107" s="90" t="e">
        <f t="shared" ca="1" si="61"/>
        <v>#NAME?</v>
      </c>
      <c r="V107" s="89">
        <v>10</v>
      </c>
      <c r="W107" s="89">
        <v>10</v>
      </c>
      <c r="X107" s="159"/>
      <c r="Y107" s="183"/>
      <c r="Z107" s="183"/>
      <c r="AA107" s="183"/>
      <c r="AB107" s="183"/>
      <c r="AC107" s="178">
        <v>50</v>
      </c>
      <c r="AD107" s="178">
        <v>50</v>
      </c>
      <c r="AE107" s="178"/>
      <c r="AF107" s="178"/>
      <c r="AG107" s="178">
        <f>Q107/P107*100</f>
        <v>100</v>
      </c>
      <c r="AH107" s="178">
        <f>AC107/Q107*100</f>
        <v>100</v>
      </c>
      <c r="AI107" s="183"/>
      <c r="AJ107" s="183"/>
      <c r="AK107" s="171">
        <f t="shared" si="59"/>
        <v>20</v>
      </c>
      <c r="AL107" s="171">
        <f t="shared" si="60"/>
        <v>0</v>
      </c>
      <c r="AM107" s="171"/>
      <c r="AN107" s="187" t="e">
        <f ca="1">__xlfn.ISFORMULA(#REF!)</f>
        <v>#NAME?</v>
      </c>
      <c r="AO107" s="199" t="e">
        <f ca="1">__xlfn.ISFORMULA(#REF!)</f>
        <v>#NAME?</v>
      </c>
      <c r="AP107" s="193" t="e">
        <f t="shared" ca="1" si="22"/>
        <v>#NAME?</v>
      </c>
      <c r="AQ107" s="200">
        <v>1.73</v>
      </c>
      <c r="AR107" s="204">
        <f>V107/R107*100</f>
        <v>20</v>
      </c>
      <c r="AS107" s="204">
        <f t="shared" si="54"/>
        <v>100</v>
      </c>
      <c r="AT107" s="204">
        <f>W107/R107*100</f>
        <v>20</v>
      </c>
      <c r="AU107" s="204">
        <f>AQ107/W107*100</f>
        <v>17.299999999999997</v>
      </c>
      <c r="AV107" s="204">
        <f>AQ107/R107*100</f>
        <v>3.46</v>
      </c>
    </row>
    <row r="108" spans="1:48" ht="12" customHeight="1">
      <c r="A108" s="68"/>
      <c r="B108" s="69"/>
      <c r="C108" s="69"/>
      <c r="D108" s="69"/>
      <c r="E108" s="69"/>
      <c r="F108" s="69"/>
      <c r="G108" s="69"/>
      <c r="H108" s="70"/>
      <c r="I108" s="141"/>
      <c r="J108" s="142"/>
      <c r="K108" s="7"/>
      <c r="L108" s="85"/>
      <c r="M108" s="85"/>
      <c r="N108" s="86"/>
      <c r="O108" s="86"/>
      <c r="P108" s="87"/>
      <c r="Q108" s="87"/>
      <c r="R108" s="168"/>
      <c r="S108" s="161"/>
      <c r="T108" s="161"/>
      <c r="U108" s="90" t="e">
        <f t="shared" ca="1" si="61"/>
        <v>#NAME?</v>
      </c>
      <c r="V108" s="89"/>
      <c r="W108" s="89"/>
      <c r="X108" s="162"/>
      <c r="Y108" s="181"/>
      <c r="Z108" s="181"/>
      <c r="AA108" s="181"/>
      <c r="AB108" s="181"/>
      <c r="AC108" s="182"/>
      <c r="AD108" s="182"/>
      <c r="AE108" s="178"/>
      <c r="AF108" s="178"/>
      <c r="AG108" s="178"/>
      <c r="AH108" s="178"/>
      <c r="AI108" s="181"/>
      <c r="AJ108" s="181"/>
      <c r="AK108" s="171"/>
      <c r="AL108" s="171"/>
      <c r="AM108" s="171"/>
      <c r="AN108" s="187" t="e">
        <f ca="1">__xlfn.ISFORMULA(#REF!)</f>
        <v>#NAME?</v>
      </c>
      <c r="AO108" s="199" t="e">
        <f ca="1">__xlfn.ISFORMULA(#REF!)</f>
        <v>#NAME?</v>
      </c>
      <c r="AP108" s="193" t="e">
        <f t="shared" ca="1" si="22"/>
        <v>#NAME?</v>
      </c>
      <c r="AQ108" s="200"/>
      <c r="AR108" s="204"/>
      <c r="AS108" s="204"/>
      <c r="AT108" s="204"/>
      <c r="AU108" s="204"/>
      <c r="AV108" s="204"/>
    </row>
    <row r="109" spans="1:48" ht="12" customHeight="1">
      <c r="A109" s="52"/>
      <c r="B109" s="53"/>
      <c r="C109" s="53"/>
      <c r="D109" s="53"/>
      <c r="E109" s="53"/>
      <c r="F109" s="53"/>
      <c r="G109" s="53"/>
      <c r="H109" s="64">
        <v>6414</v>
      </c>
      <c r="I109" s="117"/>
      <c r="J109" s="118"/>
      <c r="K109" s="18" t="s">
        <v>147</v>
      </c>
      <c r="L109" s="112">
        <v>4781</v>
      </c>
      <c r="M109" s="112">
        <f>4781/7.5345</f>
        <v>634.54774703032717</v>
      </c>
      <c r="N109" s="113">
        <v>21</v>
      </c>
      <c r="O109" s="113">
        <f>N109/7.5345</f>
        <v>2.7871789767071471</v>
      </c>
      <c r="P109" s="114">
        <v>8000</v>
      </c>
      <c r="Q109" s="114">
        <v>8000</v>
      </c>
      <c r="R109" s="167">
        <v>8000</v>
      </c>
      <c r="S109" s="90"/>
      <c r="T109" s="90"/>
      <c r="U109" s="90" t="e">
        <f t="shared" ca="1" si="61"/>
        <v>#NAME?</v>
      </c>
      <c r="V109" s="89"/>
      <c r="W109" s="89"/>
      <c r="X109" s="88"/>
      <c r="Y109" s="171"/>
      <c r="Z109" s="171"/>
      <c r="AA109" s="171"/>
      <c r="AB109" s="171"/>
      <c r="AC109" s="172">
        <v>60000</v>
      </c>
      <c r="AD109" s="172">
        <v>60000</v>
      </c>
      <c r="AE109" s="178"/>
      <c r="AF109" s="178"/>
      <c r="AG109" s="178">
        <f>Q109/P109*100</f>
        <v>100</v>
      </c>
      <c r="AH109" s="178">
        <f>AC109/Q109*100</f>
        <v>750</v>
      </c>
      <c r="AI109" s="171"/>
      <c r="AJ109" s="171"/>
      <c r="AK109" s="171">
        <f t="shared" si="59"/>
        <v>0</v>
      </c>
      <c r="AL109" s="171"/>
      <c r="AM109" s="171"/>
      <c r="AN109" s="187" t="e">
        <f ca="1">__xlfn.ISFORMULA(#REF!)</f>
        <v>#NAME?</v>
      </c>
      <c r="AO109" s="199" t="e">
        <f ca="1">__xlfn.ISFORMULA(#REF!)</f>
        <v>#NAME?</v>
      </c>
      <c r="AP109" s="193" t="e">
        <f t="shared" ca="1" si="22"/>
        <v>#NAME?</v>
      </c>
      <c r="AQ109" s="200"/>
      <c r="AR109" s="204">
        <f>V109/R109*100</f>
        <v>0</v>
      </c>
      <c r="AS109" s="204" t="e">
        <f t="shared" si="54"/>
        <v>#DIV/0!</v>
      </c>
      <c r="AT109" s="204">
        <f>W109/R109*100</f>
        <v>0</v>
      </c>
      <c r="AU109" s="204"/>
      <c r="AV109" s="204">
        <f>AQ109/R109*100</f>
        <v>0</v>
      </c>
    </row>
    <row r="110" spans="1:48" ht="12" customHeight="1">
      <c r="A110" s="52"/>
      <c r="B110" s="53"/>
      <c r="C110" s="53"/>
      <c r="D110" s="53"/>
      <c r="E110" s="53"/>
      <c r="F110" s="53"/>
      <c r="G110" s="53"/>
      <c r="H110" s="64">
        <v>6415</v>
      </c>
      <c r="I110" s="117"/>
      <c r="J110" s="118"/>
      <c r="K110" s="18" t="s">
        <v>148</v>
      </c>
      <c r="L110" s="112"/>
      <c r="M110" s="112"/>
      <c r="N110" s="113"/>
      <c r="O110" s="113"/>
      <c r="P110" s="114"/>
      <c r="Q110" s="114"/>
      <c r="R110" s="167"/>
      <c r="S110" s="90"/>
      <c r="T110" s="90"/>
      <c r="U110" s="90" t="e">
        <f t="shared" ca="1" si="61"/>
        <v>#NAME?</v>
      </c>
      <c r="V110" s="89"/>
      <c r="W110" s="89"/>
      <c r="X110" s="88"/>
      <c r="Y110" s="171"/>
      <c r="Z110" s="171"/>
      <c r="AA110" s="171"/>
      <c r="AB110" s="171"/>
      <c r="AC110" s="172"/>
      <c r="AD110" s="172"/>
      <c r="AE110" s="178"/>
      <c r="AF110" s="178"/>
      <c r="AG110" s="178"/>
      <c r="AH110" s="178"/>
      <c r="AI110" s="171"/>
      <c r="AJ110" s="171"/>
      <c r="AK110" s="171"/>
      <c r="AL110" s="171"/>
      <c r="AM110" s="171"/>
      <c r="AN110" s="187" t="e">
        <f ca="1">__xlfn.ISFORMULA(#REF!)</f>
        <v>#NAME?</v>
      </c>
      <c r="AO110" s="199" t="e">
        <f ca="1">__xlfn.ISFORMULA(#REF!)</f>
        <v>#NAME?</v>
      </c>
      <c r="AP110" s="193" t="e">
        <f t="shared" ref="AP110:AP168" ca="1" si="70">__xlfn.ISFORMULA(X110)</f>
        <v>#NAME?</v>
      </c>
      <c r="AQ110" s="200">
        <v>0.13</v>
      </c>
      <c r="AR110" s="204"/>
      <c r="AS110" s="204"/>
      <c r="AT110" s="204"/>
      <c r="AU110" s="204"/>
      <c r="AV110" s="204"/>
    </row>
    <row r="111" spans="1:48" ht="12" customHeight="1">
      <c r="A111" s="52"/>
      <c r="B111" s="53"/>
      <c r="C111" s="53"/>
      <c r="D111" s="53"/>
      <c r="E111" s="53"/>
      <c r="F111" s="53"/>
      <c r="G111" s="53"/>
      <c r="H111" s="64">
        <v>6417</v>
      </c>
      <c r="I111" s="117"/>
      <c r="J111" s="118"/>
      <c r="K111" s="18" t="s">
        <v>149</v>
      </c>
      <c r="L111" s="112">
        <f t="shared" ref="L111:Q111" si="71">L112</f>
        <v>0</v>
      </c>
      <c r="M111" s="112">
        <f t="shared" si="71"/>
        <v>0</v>
      </c>
      <c r="N111" s="113">
        <f t="shared" si="71"/>
        <v>0</v>
      </c>
      <c r="O111" s="113">
        <f t="shared" si="71"/>
        <v>0</v>
      </c>
      <c r="P111" s="114">
        <f t="shared" si="71"/>
        <v>0</v>
      </c>
      <c r="Q111" s="114">
        <f t="shared" si="71"/>
        <v>0</v>
      </c>
      <c r="R111" s="167">
        <v>0</v>
      </c>
      <c r="S111" s="90"/>
      <c r="T111" s="90"/>
      <c r="U111" s="90" t="e">
        <f t="shared" ca="1" si="61"/>
        <v>#NAME?</v>
      </c>
      <c r="V111" s="89"/>
      <c r="W111" s="89"/>
      <c r="X111" s="88"/>
      <c r="Y111" s="171"/>
      <c r="Z111" s="171"/>
      <c r="AA111" s="171"/>
      <c r="AB111" s="171"/>
      <c r="AC111" s="172">
        <f>AC112</f>
        <v>0</v>
      </c>
      <c r="AD111" s="172">
        <f>AD112</f>
        <v>0</v>
      </c>
      <c r="AE111" s="178"/>
      <c r="AF111" s="178"/>
      <c r="AG111" s="178"/>
      <c r="AH111" s="178"/>
      <c r="AI111" s="171"/>
      <c r="AJ111" s="171"/>
      <c r="AK111" s="171"/>
      <c r="AL111" s="171"/>
      <c r="AM111" s="171"/>
      <c r="AN111" s="187" t="e">
        <f ca="1">__xlfn.ISFORMULA(#REF!)</f>
        <v>#NAME?</v>
      </c>
      <c r="AO111" s="199" t="e">
        <f ca="1">__xlfn.ISFORMULA(#REF!)</f>
        <v>#NAME?</v>
      </c>
      <c r="AP111" s="193" t="e">
        <f t="shared" ca="1" si="70"/>
        <v>#NAME?</v>
      </c>
      <c r="AQ111" s="200"/>
      <c r="AR111" s="204"/>
      <c r="AS111" s="204"/>
      <c r="AT111" s="204"/>
      <c r="AU111" s="204"/>
      <c r="AV111" s="204"/>
    </row>
    <row r="112" spans="1:48" ht="12" customHeight="1">
      <c r="A112" s="52"/>
      <c r="B112" s="53"/>
      <c r="C112" s="53"/>
      <c r="D112" s="53"/>
      <c r="E112" s="53"/>
      <c r="F112" s="53"/>
      <c r="G112" s="53"/>
      <c r="H112" s="64">
        <v>64172</v>
      </c>
      <c r="I112" s="117"/>
      <c r="J112" s="118"/>
      <c r="K112" s="18" t="s">
        <v>150</v>
      </c>
      <c r="L112" s="130"/>
      <c r="M112" s="130"/>
      <c r="N112" s="131"/>
      <c r="O112" s="131"/>
      <c r="P112" s="132"/>
      <c r="Q112" s="132"/>
      <c r="R112" s="164"/>
      <c r="S112" s="165"/>
      <c r="T112" s="165"/>
      <c r="U112" s="90" t="e">
        <f t="shared" ca="1" si="61"/>
        <v>#NAME?</v>
      </c>
      <c r="V112" s="89"/>
      <c r="W112" s="89"/>
      <c r="X112" s="159"/>
      <c r="Y112" s="183"/>
      <c r="Z112" s="183"/>
      <c r="AA112" s="183"/>
      <c r="AB112" s="183"/>
      <c r="AC112" s="178"/>
      <c r="AD112" s="178"/>
      <c r="AE112" s="178"/>
      <c r="AF112" s="178"/>
      <c r="AG112" s="178"/>
      <c r="AH112" s="178"/>
      <c r="AI112" s="183"/>
      <c r="AJ112" s="183"/>
      <c r="AK112" s="171"/>
      <c r="AL112" s="171"/>
      <c r="AM112" s="171"/>
      <c r="AN112" s="187" t="e">
        <f ca="1">__xlfn.ISFORMULA(#REF!)</f>
        <v>#NAME?</v>
      </c>
      <c r="AO112" s="199" t="e">
        <f ca="1">__xlfn.ISFORMULA(#REF!)</f>
        <v>#NAME?</v>
      </c>
      <c r="AP112" s="193" t="e">
        <f t="shared" ca="1" si="70"/>
        <v>#NAME?</v>
      </c>
      <c r="AQ112" s="200"/>
      <c r="AR112" s="204"/>
      <c r="AS112" s="204"/>
      <c r="AT112" s="204"/>
      <c r="AU112" s="204"/>
      <c r="AV112" s="204"/>
    </row>
    <row r="113" spans="1:48" ht="12" customHeight="1">
      <c r="A113" s="68"/>
      <c r="B113" s="69"/>
      <c r="C113" s="69"/>
      <c r="D113" s="69"/>
      <c r="E113" s="69"/>
      <c r="F113" s="69"/>
      <c r="G113" s="69"/>
      <c r="H113" s="211"/>
      <c r="I113" s="141"/>
      <c r="J113" s="142"/>
      <c r="K113" s="7"/>
      <c r="L113" s="217"/>
      <c r="M113" s="217"/>
      <c r="N113" s="218"/>
      <c r="O113" s="218"/>
      <c r="P113" s="219"/>
      <c r="Q113" s="219"/>
      <c r="R113" s="221"/>
      <c r="S113" s="222"/>
      <c r="T113" s="222"/>
      <c r="U113" s="90" t="e">
        <f t="shared" ca="1" si="61"/>
        <v>#NAME?</v>
      </c>
      <c r="V113" s="89"/>
      <c r="W113" s="89"/>
      <c r="X113" s="88"/>
      <c r="Y113" s="223"/>
      <c r="Z113" s="223"/>
      <c r="AA113" s="223"/>
      <c r="AB113" s="223"/>
      <c r="AC113" s="224"/>
      <c r="AD113" s="224"/>
      <c r="AE113" s="178"/>
      <c r="AF113" s="178"/>
      <c r="AG113" s="178"/>
      <c r="AH113" s="178"/>
      <c r="AI113" s="223"/>
      <c r="AJ113" s="223"/>
      <c r="AK113" s="171"/>
      <c r="AL113" s="171"/>
      <c r="AM113" s="171"/>
      <c r="AN113" s="187" t="e">
        <f ca="1">__xlfn.ISFORMULA(#REF!)</f>
        <v>#NAME?</v>
      </c>
      <c r="AO113" s="199" t="e">
        <f ca="1">__xlfn.ISFORMULA(#REF!)</f>
        <v>#NAME?</v>
      </c>
      <c r="AP113" s="193" t="e">
        <f t="shared" ca="1" si="70"/>
        <v>#NAME?</v>
      </c>
      <c r="AQ113" s="200"/>
      <c r="AR113" s="204"/>
      <c r="AS113" s="204"/>
      <c r="AT113" s="204"/>
      <c r="AU113" s="204"/>
      <c r="AV113" s="204"/>
    </row>
    <row r="114" spans="1:48" ht="12" customHeight="1">
      <c r="A114" s="61"/>
      <c r="B114" s="62"/>
      <c r="C114" s="62"/>
      <c r="D114" s="62"/>
      <c r="E114" s="62"/>
      <c r="F114" s="62"/>
      <c r="G114" s="62"/>
      <c r="H114" s="63">
        <v>642</v>
      </c>
      <c r="I114" s="128"/>
      <c r="J114" s="129"/>
      <c r="K114" s="19" t="s">
        <v>151</v>
      </c>
      <c r="L114" s="112">
        <f t="shared" ref="L114:Q114" si="72">L115+L119+L125+L131</f>
        <v>1443733</v>
      </c>
      <c r="M114" s="112">
        <f t="shared" si="72"/>
        <v>191616.2983608733</v>
      </c>
      <c r="N114" s="113">
        <f t="shared" si="72"/>
        <v>1973184</v>
      </c>
      <c r="O114" s="113">
        <f t="shared" si="72"/>
        <v>261886.52199880546</v>
      </c>
      <c r="P114" s="114">
        <f t="shared" si="72"/>
        <v>178320</v>
      </c>
      <c r="Q114" s="114">
        <f t="shared" si="72"/>
        <v>175620</v>
      </c>
      <c r="R114" s="167">
        <v>175620</v>
      </c>
      <c r="S114" s="90"/>
      <c r="T114" s="90"/>
      <c r="U114" s="90" t="e">
        <f t="shared" ca="1" si="61"/>
        <v>#NAME?</v>
      </c>
      <c r="V114" s="89">
        <f>V115+V119+V125+V131</f>
        <v>228720</v>
      </c>
      <c r="W114" s="89">
        <f>W115+W119+W125+W131</f>
        <v>228720</v>
      </c>
      <c r="X114" s="88">
        <f>X115+X119+X125+X131</f>
        <v>281720</v>
      </c>
      <c r="Y114" s="171">
        <f>Y115+Y119+Y125+Y131</f>
        <v>327720</v>
      </c>
      <c r="Z114" s="171"/>
      <c r="AA114" s="171"/>
      <c r="AB114" s="171"/>
      <c r="AC114" s="172">
        <f>AC115+AC119+AC125+AC131</f>
        <v>174620</v>
      </c>
      <c r="AD114" s="172">
        <f>AD115+AD119+AD125+AD131</f>
        <v>174620</v>
      </c>
      <c r="AE114" s="178">
        <f>O114/M114*100</f>
        <v>136.67236254903088</v>
      </c>
      <c r="AF114" s="178">
        <f t="shared" ref="AF114:AG116" si="73">P114/O114*100</f>
        <v>68.090560231585101</v>
      </c>
      <c r="AG114" s="178">
        <f t="shared" si="73"/>
        <v>98.485868102288023</v>
      </c>
      <c r="AH114" s="178">
        <f>AC114/Q114*100</f>
        <v>99.430588771210566</v>
      </c>
      <c r="AI114" s="171"/>
      <c r="AJ114" s="171">
        <v>327720</v>
      </c>
      <c r="AK114" s="171">
        <f t="shared" si="59"/>
        <v>130.23573624871884</v>
      </c>
      <c r="AL114" s="171">
        <f t="shared" si="60"/>
        <v>123.17243791535502</v>
      </c>
      <c r="AM114" s="171">
        <f>Y114/X114*100</f>
        <v>116.32826920346444</v>
      </c>
      <c r="AN114" s="187" t="e">
        <f ca="1">__xlfn.ISFORMULA(#REF!)</f>
        <v>#NAME?</v>
      </c>
      <c r="AO114" s="199" t="e">
        <f ca="1">__xlfn.ISFORMULA(#REF!)</f>
        <v>#NAME?</v>
      </c>
      <c r="AP114" s="193" t="e">
        <f t="shared" ca="1" si="70"/>
        <v>#NAME?</v>
      </c>
      <c r="AQ114" s="200">
        <f>AQ115+AQ119+AQ125+AQ131</f>
        <v>204297.34999999998</v>
      </c>
      <c r="AR114" s="204">
        <f>V114/R114*100</f>
        <v>130.23573624871884</v>
      </c>
      <c r="AS114" s="204">
        <f t="shared" ref="AS114:AS173" si="74">W114/V114*100</f>
        <v>100</v>
      </c>
      <c r="AT114" s="204">
        <f t="shared" ref="AT114:AT143" si="75">W114/R114*100</f>
        <v>130.23573624871884</v>
      </c>
      <c r="AU114" s="204">
        <f t="shared" ref="AU114:AU173" si="76">AQ114/W114*100</f>
        <v>89.322031304651958</v>
      </c>
      <c r="AV114" s="204">
        <f t="shared" ref="AV114:AV143" si="77">AQ114/R114*100</f>
        <v>116.3292051019246</v>
      </c>
    </row>
    <row r="115" spans="1:48" ht="12" customHeight="1">
      <c r="A115" s="52"/>
      <c r="B115" s="53"/>
      <c r="C115" s="53"/>
      <c r="D115" s="53"/>
      <c r="E115" s="53"/>
      <c r="F115" s="53"/>
      <c r="G115" s="53"/>
      <c r="H115" s="64">
        <v>6421</v>
      </c>
      <c r="I115" s="117"/>
      <c r="J115" s="118"/>
      <c r="K115" s="18" t="s">
        <v>152</v>
      </c>
      <c r="L115" s="112">
        <f t="shared" ref="L115:Q115" si="78">L116+L117</f>
        <v>363081</v>
      </c>
      <c r="M115" s="112">
        <f t="shared" si="78"/>
        <v>48189.130001990838</v>
      </c>
      <c r="N115" s="113">
        <f t="shared" si="78"/>
        <v>464831</v>
      </c>
      <c r="O115" s="113">
        <f t="shared" si="78"/>
        <v>61693.675758179037</v>
      </c>
      <c r="P115" s="114">
        <f t="shared" si="78"/>
        <v>59800</v>
      </c>
      <c r="Q115" s="114">
        <f t="shared" si="78"/>
        <v>57100</v>
      </c>
      <c r="R115" s="167">
        <v>57100</v>
      </c>
      <c r="S115" s="90"/>
      <c r="T115" s="90"/>
      <c r="U115" s="90" t="e">
        <f t="shared" ca="1" si="61"/>
        <v>#NAME?</v>
      </c>
      <c r="V115" s="89">
        <f>V116</f>
        <v>105000</v>
      </c>
      <c r="W115" s="89">
        <f>W116</f>
        <v>105000</v>
      </c>
      <c r="X115" s="88">
        <f>X116</f>
        <v>150000</v>
      </c>
      <c r="Y115" s="171">
        <f>Y116</f>
        <v>170000</v>
      </c>
      <c r="Z115" s="171"/>
      <c r="AA115" s="171"/>
      <c r="AB115" s="171"/>
      <c r="AC115" s="172">
        <f>AC116+AC117</f>
        <v>59700</v>
      </c>
      <c r="AD115" s="172">
        <f>AD116+AD117</f>
        <v>59700</v>
      </c>
      <c r="AE115" s="178">
        <f>O115/M115*100</f>
        <v>128.02404972995006</v>
      </c>
      <c r="AF115" s="178">
        <f t="shared" si="73"/>
        <v>96.93051883372668</v>
      </c>
      <c r="AG115" s="178">
        <f t="shared" si="73"/>
        <v>95.484949832775925</v>
      </c>
      <c r="AH115" s="178">
        <f>AC115/Q115*100</f>
        <v>104.55341506129596</v>
      </c>
      <c r="AI115" s="171"/>
      <c r="AJ115" s="171">
        <v>170000</v>
      </c>
      <c r="AK115" s="171">
        <f t="shared" si="59"/>
        <v>183.88791593695271</v>
      </c>
      <c r="AL115" s="171">
        <f t="shared" si="60"/>
        <v>142.85714285714286</v>
      </c>
      <c r="AM115" s="171">
        <f>Y115/X115*100</f>
        <v>113.33333333333333</v>
      </c>
      <c r="AN115" s="187" t="e">
        <f ca="1">__xlfn.ISFORMULA(#REF!)</f>
        <v>#NAME?</v>
      </c>
      <c r="AO115" s="199" t="e">
        <f ca="1">__xlfn.ISFORMULA(#REF!)</f>
        <v>#NAME?</v>
      </c>
      <c r="AP115" s="193" t="e">
        <f t="shared" ca="1" si="70"/>
        <v>#NAME?</v>
      </c>
      <c r="AQ115" s="200">
        <f>AQ116</f>
        <v>114014.9</v>
      </c>
      <c r="AR115" s="204">
        <f>V115/R115*100</f>
        <v>183.88791593695271</v>
      </c>
      <c r="AS115" s="204">
        <f t="shared" si="74"/>
        <v>100</v>
      </c>
      <c r="AT115" s="204">
        <f t="shared" si="75"/>
        <v>183.88791593695271</v>
      </c>
      <c r="AU115" s="204">
        <f t="shared" si="76"/>
        <v>108.58561904761905</v>
      </c>
      <c r="AV115" s="204">
        <f t="shared" si="77"/>
        <v>199.67583187390542</v>
      </c>
    </row>
    <row r="116" spans="1:48" ht="12" customHeight="1">
      <c r="A116" s="52"/>
      <c r="B116" s="53"/>
      <c r="C116" s="53"/>
      <c r="D116" s="53"/>
      <c r="E116" s="53"/>
      <c r="F116" s="53"/>
      <c r="G116" s="53"/>
      <c r="H116" s="64">
        <v>64214</v>
      </c>
      <c r="I116" s="117"/>
      <c r="J116" s="118"/>
      <c r="K116" s="18" t="s">
        <v>153</v>
      </c>
      <c r="L116" s="130">
        <v>363081</v>
      </c>
      <c r="M116" s="130">
        <f>363081/7.5345</f>
        <v>48189.130001990838</v>
      </c>
      <c r="N116" s="131">
        <v>464831</v>
      </c>
      <c r="O116" s="131">
        <f>N116/7.5345</f>
        <v>61693.675758179037</v>
      </c>
      <c r="P116" s="132">
        <v>57100</v>
      </c>
      <c r="Q116" s="132">
        <v>57100</v>
      </c>
      <c r="R116" s="164">
        <v>57100</v>
      </c>
      <c r="S116" s="165"/>
      <c r="T116" s="165"/>
      <c r="U116" s="90" t="e">
        <f t="shared" ca="1" si="61"/>
        <v>#NAME?</v>
      </c>
      <c r="V116" s="89">
        <v>105000</v>
      </c>
      <c r="W116" s="89">
        <v>105000</v>
      </c>
      <c r="X116" s="159">
        <v>150000</v>
      </c>
      <c r="Y116" s="183">
        <v>170000</v>
      </c>
      <c r="Z116" s="183"/>
      <c r="AA116" s="183"/>
      <c r="AB116" s="183"/>
      <c r="AC116" s="178">
        <v>57000</v>
      </c>
      <c r="AD116" s="178">
        <v>57000</v>
      </c>
      <c r="AE116" s="178">
        <f>O116/M116*100</f>
        <v>128.02404972995006</v>
      </c>
      <c r="AF116" s="178">
        <f t="shared" si="73"/>
        <v>92.554057281033337</v>
      </c>
      <c r="AG116" s="178">
        <f t="shared" si="73"/>
        <v>100</v>
      </c>
      <c r="AH116" s="178">
        <f>AC116/Q116*100</f>
        <v>99.824868651488615</v>
      </c>
      <c r="AI116" s="183"/>
      <c r="AJ116" s="183">
        <v>170000</v>
      </c>
      <c r="AK116" s="171">
        <f t="shared" si="59"/>
        <v>183.88791593695271</v>
      </c>
      <c r="AL116" s="171">
        <f t="shared" si="60"/>
        <v>142.85714285714286</v>
      </c>
      <c r="AM116" s="171">
        <f>Y116/X116*100</f>
        <v>113.33333333333333</v>
      </c>
      <c r="AN116" s="187" t="e">
        <f ca="1">__xlfn.ISFORMULA(#REF!)</f>
        <v>#NAME?</v>
      </c>
      <c r="AO116" s="199" t="e">
        <f ca="1">__xlfn.ISFORMULA(#REF!)</f>
        <v>#NAME?</v>
      </c>
      <c r="AP116" s="193" t="e">
        <f t="shared" ca="1" si="70"/>
        <v>#NAME?</v>
      </c>
      <c r="AQ116" s="200">
        <v>114014.9</v>
      </c>
      <c r="AR116" s="204">
        <f>V116/R116*100</f>
        <v>183.88791593695271</v>
      </c>
      <c r="AS116" s="204">
        <f t="shared" si="74"/>
        <v>100</v>
      </c>
      <c r="AT116" s="204">
        <f t="shared" si="75"/>
        <v>183.88791593695271</v>
      </c>
      <c r="AU116" s="204">
        <f t="shared" si="76"/>
        <v>108.58561904761905</v>
      </c>
      <c r="AV116" s="204">
        <f t="shared" si="77"/>
        <v>199.67583187390542</v>
      </c>
    </row>
    <row r="117" spans="1:48" ht="12" customHeight="1">
      <c r="A117" s="52"/>
      <c r="B117" s="53"/>
      <c r="C117" s="53"/>
      <c r="D117" s="53"/>
      <c r="E117" s="53"/>
      <c r="F117" s="53"/>
      <c r="G117" s="53"/>
      <c r="H117" s="64">
        <v>64219</v>
      </c>
      <c r="I117" s="117"/>
      <c r="J117" s="118"/>
      <c r="K117" s="18" t="s">
        <v>154</v>
      </c>
      <c r="L117" s="130">
        <v>0</v>
      </c>
      <c r="M117" s="130">
        <v>0</v>
      </c>
      <c r="N117" s="131">
        <v>0</v>
      </c>
      <c r="O117" s="131">
        <f>N117/7.5345</f>
        <v>0</v>
      </c>
      <c r="P117" s="132">
        <v>2700</v>
      </c>
      <c r="Q117" s="163">
        <v>0</v>
      </c>
      <c r="R117" s="164">
        <v>0</v>
      </c>
      <c r="S117" s="165"/>
      <c r="T117" s="165"/>
      <c r="U117" s="90" t="e">
        <f t="shared" ca="1" si="61"/>
        <v>#NAME?</v>
      </c>
      <c r="V117" s="89"/>
      <c r="W117" s="89"/>
      <c r="X117" s="159"/>
      <c r="Y117" s="183"/>
      <c r="Z117" s="183"/>
      <c r="AA117" s="183"/>
      <c r="AB117" s="183"/>
      <c r="AC117" s="178">
        <v>2700</v>
      </c>
      <c r="AD117" s="178">
        <v>2700</v>
      </c>
      <c r="AE117" s="178"/>
      <c r="AF117" s="178"/>
      <c r="AG117" s="178"/>
      <c r="AH117" s="178"/>
      <c r="AI117" s="183"/>
      <c r="AJ117" s="183"/>
      <c r="AK117" s="171"/>
      <c r="AL117" s="171"/>
      <c r="AM117" s="171"/>
      <c r="AN117" s="187" t="e">
        <f ca="1">__xlfn.ISFORMULA(#REF!)</f>
        <v>#NAME?</v>
      </c>
      <c r="AO117" s="199" t="e">
        <f ca="1">__xlfn.ISFORMULA(#REF!)</f>
        <v>#NAME?</v>
      </c>
      <c r="AP117" s="193" t="e">
        <f t="shared" ca="1" si="70"/>
        <v>#NAME?</v>
      </c>
      <c r="AQ117" s="200"/>
      <c r="AR117" s="204"/>
      <c r="AS117" s="204"/>
      <c r="AT117" s="204"/>
      <c r="AU117" s="204"/>
      <c r="AV117" s="204"/>
    </row>
    <row r="118" spans="1:48" ht="12" customHeight="1">
      <c r="A118" s="52"/>
      <c r="B118" s="53"/>
      <c r="C118" s="53"/>
      <c r="D118" s="53"/>
      <c r="E118" s="53"/>
      <c r="F118" s="53"/>
      <c r="G118" s="53"/>
      <c r="H118" s="64"/>
      <c r="I118" s="117"/>
      <c r="J118" s="118"/>
      <c r="K118" s="18"/>
      <c r="L118" s="119"/>
      <c r="M118" s="119"/>
      <c r="N118" s="120"/>
      <c r="O118" s="120"/>
      <c r="P118" s="121"/>
      <c r="Q118" s="121"/>
      <c r="R118" s="220"/>
      <c r="S118" s="158"/>
      <c r="T118" s="158"/>
      <c r="U118" s="90" t="e">
        <f t="shared" ca="1" si="61"/>
        <v>#NAME?</v>
      </c>
      <c r="V118" s="89"/>
      <c r="W118" s="89"/>
      <c r="X118" s="159"/>
      <c r="Y118" s="179"/>
      <c r="Z118" s="179"/>
      <c r="AA118" s="179"/>
      <c r="AB118" s="179"/>
      <c r="AC118" s="180"/>
      <c r="AD118" s="180"/>
      <c r="AE118" s="178"/>
      <c r="AF118" s="178"/>
      <c r="AG118" s="178"/>
      <c r="AH118" s="178"/>
      <c r="AI118" s="179"/>
      <c r="AJ118" s="179"/>
      <c r="AK118" s="171"/>
      <c r="AL118" s="171"/>
      <c r="AM118" s="171"/>
      <c r="AN118" s="187" t="e">
        <f ca="1">__xlfn.ISFORMULA(#REF!)</f>
        <v>#NAME?</v>
      </c>
      <c r="AO118" s="199" t="e">
        <f ca="1">__xlfn.ISFORMULA(#REF!)</f>
        <v>#NAME?</v>
      </c>
      <c r="AP118" s="193" t="e">
        <f t="shared" ca="1" si="70"/>
        <v>#NAME?</v>
      </c>
      <c r="AQ118" s="200"/>
      <c r="AR118" s="204"/>
      <c r="AS118" s="204"/>
      <c r="AT118" s="204"/>
      <c r="AU118" s="204"/>
      <c r="AV118" s="204"/>
    </row>
    <row r="119" spans="1:48" ht="12" customHeight="1">
      <c r="A119" s="52"/>
      <c r="B119" s="53"/>
      <c r="C119" s="53"/>
      <c r="D119" s="53"/>
      <c r="E119" s="53"/>
      <c r="F119" s="53"/>
      <c r="G119" s="53"/>
      <c r="H119" s="64">
        <v>6422</v>
      </c>
      <c r="I119" s="117"/>
      <c r="J119" s="118"/>
      <c r="K119" s="18" t="s">
        <v>155</v>
      </c>
      <c r="L119" s="112">
        <f t="shared" ref="L119:Q119" si="79">L120+L121+L122+L123</f>
        <v>583460</v>
      </c>
      <c r="M119" s="112">
        <f t="shared" si="79"/>
        <v>77438.449797597714</v>
      </c>
      <c r="N119" s="113">
        <f t="shared" si="79"/>
        <v>542635</v>
      </c>
      <c r="O119" s="113">
        <f t="shared" si="79"/>
        <v>72020.041144070594</v>
      </c>
      <c r="P119" s="114">
        <f t="shared" si="79"/>
        <v>80720</v>
      </c>
      <c r="Q119" s="114">
        <f t="shared" si="79"/>
        <v>80720</v>
      </c>
      <c r="R119" s="167">
        <v>80720</v>
      </c>
      <c r="S119" s="90"/>
      <c r="T119" s="90"/>
      <c r="U119" s="90" t="e">
        <f t="shared" ca="1" si="61"/>
        <v>#NAME?</v>
      </c>
      <c r="V119" s="89">
        <f>SUM(V120:V123)</f>
        <v>90520</v>
      </c>
      <c r="W119" s="89">
        <f>SUM(W120:W123)</f>
        <v>90520</v>
      </c>
      <c r="X119" s="88">
        <f>SUM(X120:X123)</f>
        <v>100720</v>
      </c>
      <c r="Y119" s="171">
        <f>SUM(Y120:Y123)</f>
        <v>125720</v>
      </c>
      <c r="Z119" s="171"/>
      <c r="AA119" s="171"/>
      <c r="AB119" s="171"/>
      <c r="AC119" s="172">
        <f>AC120+AC121+AC122+AC123</f>
        <v>80720</v>
      </c>
      <c r="AD119" s="172">
        <f>AD120+AD121+AD122+AD123</f>
        <v>80720</v>
      </c>
      <c r="AE119" s="178">
        <f>O119/M119*100</f>
        <v>93.002947931306338</v>
      </c>
      <c r="AF119" s="178">
        <f t="shared" ref="AF119:AG123" si="80">P119/O119*100</f>
        <v>112.07991375418101</v>
      </c>
      <c r="AG119" s="178">
        <f t="shared" si="80"/>
        <v>100</v>
      </c>
      <c r="AH119" s="178">
        <f>AC119/Q119*100</f>
        <v>100</v>
      </c>
      <c r="AI119" s="171"/>
      <c r="AJ119" s="171">
        <v>125720</v>
      </c>
      <c r="AK119" s="171">
        <f t="shared" si="59"/>
        <v>112.14073339940536</v>
      </c>
      <c r="AL119" s="171">
        <f t="shared" si="60"/>
        <v>111.26822801590808</v>
      </c>
      <c r="AM119" s="171">
        <f>Y119/X119*100</f>
        <v>124.82128673550437</v>
      </c>
      <c r="AN119" s="187" t="e">
        <f ca="1">__xlfn.ISFORMULA(#REF!)</f>
        <v>#NAME?</v>
      </c>
      <c r="AO119" s="199" t="e">
        <f ca="1">__xlfn.ISFORMULA(#REF!)</f>
        <v>#NAME?</v>
      </c>
      <c r="AP119" s="193" t="e">
        <f t="shared" ca="1" si="70"/>
        <v>#NAME?</v>
      </c>
      <c r="AQ119" s="200">
        <f>SUM(AQ120:AQ123)</f>
        <v>57406.58</v>
      </c>
      <c r="AR119" s="204">
        <f>V119/R119*100</f>
        <v>112.14073339940536</v>
      </c>
      <c r="AS119" s="204">
        <f t="shared" si="74"/>
        <v>100</v>
      </c>
      <c r="AT119" s="204">
        <f t="shared" si="75"/>
        <v>112.14073339940536</v>
      </c>
      <c r="AU119" s="204">
        <f t="shared" si="76"/>
        <v>63.418669907202826</v>
      </c>
      <c r="AV119" s="204">
        <f t="shared" si="77"/>
        <v>71.118161546085233</v>
      </c>
    </row>
    <row r="120" spans="1:48" ht="12" customHeight="1">
      <c r="A120" s="52"/>
      <c r="B120" s="53"/>
      <c r="C120" s="53"/>
      <c r="D120" s="53"/>
      <c r="E120" s="53"/>
      <c r="F120" s="53"/>
      <c r="G120" s="53"/>
      <c r="H120" s="64">
        <v>64222</v>
      </c>
      <c r="I120" s="117"/>
      <c r="J120" s="118"/>
      <c r="K120" s="18" t="s">
        <v>156</v>
      </c>
      <c r="L120" s="130">
        <v>617</v>
      </c>
      <c r="M120" s="130">
        <f>617/7.5345</f>
        <v>81.889972791824277</v>
      </c>
      <c r="N120" s="131">
        <v>367</v>
      </c>
      <c r="O120" s="131">
        <f>N120/7.5345</f>
        <v>48.709270688167756</v>
      </c>
      <c r="P120" s="132">
        <v>400</v>
      </c>
      <c r="Q120" s="132">
        <v>400</v>
      </c>
      <c r="R120" s="164">
        <v>400</v>
      </c>
      <c r="S120" s="165"/>
      <c r="T120" s="165"/>
      <c r="U120" s="90" t="e">
        <f t="shared" ca="1" si="61"/>
        <v>#NAME?</v>
      </c>
      <c r="V120" s="89">
        <v>200</v>
      </c>
      <c r="W120" s="89">
        <v>200</v>
      </c>
      <c r="X120" s="159">
        <v>400</v>
      </c>
      <c r="Y120" s="183">
        <v>400</v>
      </c>
      <c r="Z120" s="183"/>
      <c r="AA120" s="183"/>
      <c r="AB120" s="183"/>
      <c r="AC120" s="178">
        <v>400</v>
      </c>
      <c r="AD120" s="178">
        <v>400</v>
      </c>
      <c r="AE120" s="178">
        <f>O120/M120*100</f>
        <v>59.481361426256072</v>
      </c>
      <c r="AF120" s="178">
        <f t="shared" si="80"/>
        <v>821.19891008174386</v>
      </c>
      <c r="AG120" s="178">
        <f t="shared" si="80"/>
        <v>100</v>
      </c>
      <c r="AH120" s="178">
        <f>AC120/Q120*100</f>
        <v>100</v>
      </c>
      <c r="AI120" s="183"/>
      <c r="AJ120" s="183">
        <v>400</v>
      </c>
      <c r="AK120" s="171">
        <f t="shared" si="59"/>
        <v>50</v>
      </c>
      <c r="AL120" s="171">
        <f t="shared" si="60"/>
        <v>200</v>
      </c>
      <c r="AM120" s="171">
        <f>Y120/X120*100</f>
        <v>100</v>
      </c>
      <c r="AN120" s="187" t="e">
        <f ca="1">__xlfn.ISFORMULA(#REF!)</f>
        <v>#NAME?</v>
      </c>
      <c r="AO120" s="199" t="e">
        <f ca="1">__xlfn.ISFORMULA(#REF!)</f>
        <v>#NAME?</v>
      </c>
      <c r="AP120" s="193" t="e">
        <f t="shared" ca="1" si="70"/>
        <v>#NAME?</v>
      </c>
      <c r="AQ120" s="200">
        <v>131.30000000000001</v>
      </c>
      <c r="AR120" s="204">
        <f t="shared" ref="AR120:AR151" si="81">V120/R120*100</f>
        <v>50</v>
      </c>
      <c r="AS120" s="204">
        <f t="shared" si="74"/>
        <v>100</v>
      </c>
      <c r="AT120" s="204">
        <f t="shared" si="75"/>
        <v>50</v>
      </c>
      <c r="AU120" s="204">
        <f t="shared" si="76"/>
        <v>65.650000000000006</v>
      </c>
      <c r="AV120" s="204">
        <f t="shared" si="77"/>
        <v>32.825000000000003</v>
      </c>
    </row>
    <row r="121" spans="1:48" ht="12" customHeight="1">
      <c r="A121" s="52"/>
      <c r="B121" s="53"/>
      <c r="C121" s="53"/>
      <c r="D121" s="53"/>
      <c r="E121" s="53"/>
      <c r="F121" s="53"/>
      <c r="G121" s="53"/>
      <c r="H121" s="64">
        <v>64224</v>
      </c>
      <c r="I121" s="117"/>
      <c r="J121" s="118"/>
      <c r="K121" s="18" t="s">
        <v>157</v>
      </c>
      <c r="L121" s="130">
        <v>2000</v>
      </c>
      <c r="M121" s="130">
        <f>2000/7.5345</f>
        <v>265.44561682925212</v>
      </c>
      <c r="N121" s="131">
        <v>2200</v>
      </c>
      <c r="O121" s="131">
        <f>N121/7.5345</f>
        <v>291.99017851217729</v>
      </c>
      <c r="P121" s="132">
        <v>320</v>
      </c>
      <c r="Q121" s="132">
        <v>320</v>
      </c>
      <c r="R121" s="164">
        <v>320</v>
      </c>
      <c r="S121" s="165"/>
      <c r="T121" s="165"/>
      <c r="U121" s="90" t="e">
        <f t="shared" ca="1" si="61"/>
        <v>#NAME?</v>
      </c>
      <c r="V121" s="89">
        <v>320</v>
      </c>
      <c r="W121" s="89">
        <v>320</v>
      </c>
      <c r="X121" s="159">
        <v>320</v>
      </c>
      <c r="Y121" s="183">
        <v>320</v>
      </c>
      <c r="Z121" s="183"/>
      <c r="AA121" s="183"/>
      <c r="AB121" s="183"/>
      <c r="AC121" s="178">
        <v>320</v>
      </c>
      <c r="AD121" s="178">
        <v>320</v>
      </c>
      <c r="AE121" s="178">
        <f>O121/M121*100</f>
        <v>109.99999999999999</v>
      </c>
      <c r="AF121" s="178">
        <f t="shared" si="80"/>
        <v>109.59272727272729</v>
      </c>
      <c r="AG121" s="178">
        <f t="shared" si="80"/>
        <v>100</v>
      </c>
      <c r="AH121" s="178">
        <f>AC121/Q121*100</f>
        <v>100</v>
      </c>
      <c r="AI121" s="183"/>
      <c r="AJ121" s="183">
        <v>320</v>
      </c>
      <c r="AK121" s="171">
        <f t="shared" si="59"/>
        <v>100</v>
      </c>
      <c r="AL121" s="171">
        <f t="shared" si="60"/>
        <v>100</v>
      </c>
      <c r="AM121" s="171">
        <f>Y121/X121*100</f>
        <v>100</v>
      </c>
      <c r="AN121" s="187" t="e">
        <f ca="1">__xlfn.ISFORMULA(#REF!)</f>
        <v>#NAME?</v>
      </c>
      <c r="AO121" s="199" t="e">
        <f ca="1">__xlfn.ISFORMULA(#REF!)</f>
        <v>#NAME?</v>
      </c>
      <c r="AP121" s="193" t="e">
        <f t="shared" ca="1" si="70"/>
        <v>#NAME?</v>
      </c>
      <c r="AQ121" s="200">
        <v>371.56</v>
      </c>
      <c r="AR121" s="204">
        <f t="shared" si="81"/>
        <v>100</v>
      </c>
      <c r="AS121" s="204">
        <f t="shared" si="74"/>
        <v>100</v>
      </c>
      <c r="AT121" s="204">
        <f t="shared" si="75"/>
        <v>100</v>
      </c>
      <c r="AU121" s="204">
        <f t="shared" si="76"/>
        <v>116.1125</v>
      </c>
      <c r="AV121" s="204">
        <f t="shared" si="77"/>
        <v>116.1125</v>
      </c>
    </row>
    <row r="122" spans="1:48" ht="12" customHeight="1">
      <c r="A122" s="52"/>
      <c r="B122" s="53"/>
      <c r="C122" s="53"/>
      <c r="D122" s="53"/>
      <c r="E122" s="53"/>
      <c r="F122" s="53"/>
      <c r="G122" s="53"/>
      <c r="H122" s="64">
        <v>64225</v>
      </c>
      <c r="I122" s="117"/>
      <c r="J122" s="118"/>
      <c r="K122" s="18" t="s">
        <v>158</v>
      </c>
      <c r="L122" s="130">
        <v>526058</v>
      </c>
      <c r="M122" s="130">
        <f>526058/7.5345</f>
        <v>69819.895148981348</v>
      </c>
      <c r="N122" s="131">
        <v>387968</v>
      </c>
      <c r="O122" s="131">
        <f>N122/7.5345</f>
        <v>51492.202535005636</v>
      </c>
      <c r="P122" s="132">
        <v>60000</v>
      </c>
      <c r="Q122" s="132">
        <v>60000</v>
      </c>
      <c r="R122" s="164">
        <v>60000</v>
      </c>
      <c r="S122" s="165"/>
      <c r="T122" s="165"/>
      <c r="U122" s="90" t="e">
        <f t="shared" ca="1" si="61"/>
        <v>#NAME?</v>
      </c>
      <c r="V122" s="89">
        <v>80000</v>
      </c>
      <c r="W122" s="89">
        <v>80000</v>
      </c>
      <c r="X122" s="159">
        <v>80000</v>
      </c>
      <c r="Y122" s="183">
        <v>100000</v>
      </c>
      <c r="Z122" s="183"/>
      <c r="AA122" s="183"/>
      <c r="AB122" s="183"/>
      <c r="AC122" s="178">
        <v>60000</v>
      </c>
      <c r="AD122" s="178">
        <v>60000</v>
      </c>
      <c r="AE122" s="178">
        <f>O122/M122*100</f>
        <v>73.750042770949207</v>
      </c>
      <c r="AF122" s="178">
        <f t="shared" si="80"/>
        <v>116.52249670075882</v>
      </c>
      <c r="AG122" s="178">
        <f t="shared" si="80"/>
        <v>100</v>
      </c>
      <c r="AH122" s="178">
        <f>AC122/Q122*100</f>
        <v>100</v>
      </c>
      <c r="AI122" s="183"/>
      <c r="AJ122" s="183">
        <v>100000</v>
      </c>
      <c r="AK122" s="171">
        <f t="shared" si="59"/>
        <v>133.33333333333331</v>
      </c>
      <c r="AL122" s="171">
        <f t="shared" si="60"/>
        <v>100</v>
      </c>
      <c r="AM122" s="171">
        <f>Y122/X122*100</f>
        <v>125</v>
      </c>
      <c r="AN122" s="187" t="e">
        <f ca="1">__xlfn.ISFORMULA(#REF!)</f>
        <v>#NAME?</v>
      </c>
      <c r="AO122" s="199" t="e">
        <f ca="1">__xlfn.ISFORMULA(#REF!)</f>
        <v>#NAME?</v>
      </c>
      <c r="AP122" s="193" t="e">
        <f t="shared" ca="1" si="70"/>
        <v>#NAME?</v>
      </c>
      <c r="AQ122" s="200">
        <v>46100.75</v>
      </c>
      <c r="AR122" s="204">
        <f t="shared" si="81"/>
        <v>133.33333333333331</v>
      </c>
      <c r="AS122" s="204">
        <f t="shared" si="74"/>
        <v>100</v>
      </c>
      <c r="AT122" s="204">
        <f t="shared" si="75"/>
        <v>133.33333333333331</v>
      </c>
      <c r="AU122" s="204">
        <f t="shared" si="76"/>
        <v>57.625937499999999</v>
      </c>
      <c r="AV122" s="204">
        <f t="shared" si="77"/>
        <v>76.834583333333327</v>
      </c>
    </row>
    <row r="123" spans="1:48" ht="12" customHeight="1">
      <c r="A123" s="52"/>
      <c r="B123" s="53"/>
      <c r="C123" s="53"/>
      <c r="D123" s="53"/>
      <c r="E123" s="53"/>
      <c r="F123" s="53"/>
      <c r="G123" s="53"/>
      <c r="H123" s="64">
        <v>64229</v>
      </c>
      <c r="I123" s="117"/>
      <c r="J123" s="118"/>
      <c r="K123" s="18" t="s">
        <v>159</v>
      </c>
      <c r="L123" s="130">
        <v>54785</v>
      </c>
      <c r="M123" s="130">
        <f>54785/7.5345</f>
        <v>7271.2190589952879</v>
      </c>
      <c r="N123" s="131">
        <v>152100</v>
      </c>
      <c r="O123" s="131">
        <f>N123/7.5345</f>
        <v>20187.139159864622</v>
      </c>
      <c r="P123" s="132">
        <v>20000</v>
      </c>
      <c r="Q123" s="132">
        <v>20000</v>
      </c>
      <c r="R123" s="164">
        <v>20000</v>
      </c>
      <c r="S123" s="165"/>
      <c r="T123" s="165"/>
      <c r="U123" s="90" t="e">
        <f t="shared" ca="1" si="61"/>
        <v>#NAME?</v>
      </c>
      <c r="V123" s="89">
        <v>10000</v>
      </c>
      <c r="W123" s="89">
        <v>10000</v>
      </c>
      <c r="X123" s="159">
        <v>20000</v>
      </c>
      <c r="Y123" s="183">
        <v>25000</v>
      </c>
      <c r="Z123" s="183"/>
      <c r="AA123" s="183"/>
      <c r="AB123" s="183"/>
      <c r="AC123" s="178">
        <v>20000</v>
      </c>
      <c r="AD123" s="178">
        <v>20000</v>
      </c>
      <c r="AE123" s="178">
        <f>O123/M123*100</f>
        <v>277.63073834078671</v>
      </c>
      <c r="AF123" s="178">
        <f t="shared" si="80"/>
        <v>99.072978303747533</v>
      </c>
      <c r="AG123" s="178">
        <f t="shared" si="80"/>
        <v>100</v>
      </c>
      <c r="AH123" s="178">
        <f>AC123/Q123*100</f>
        <v>100</v>
      </c>
      <c r="AI123" s="183"/>
      <c r="AJ123" s="183">
        <v>25000</v>
      </c>
      <c r="AK123" s="171">
        <f t="shared" si="59"/>
        <v>50</v>
      </c>
      <c r="AL123" s="171">
        <f t="shared" si="60"/>
        <v>200</v>
      </c>
      <c r="AM123" s="171">
        <f>Y123/X123*100</f>
        <v>125</v>
      </c>
      <c r="AN123" s="187" t="e">
        <f ca="1">__xlfn.ISFORMULA(#REF!)</f>
        <v>#NAME?</v>
      </c>
      <c r="AO123" s="199" t="e">
        <f ca="1">__xlfn.ISFORMULA(#REF!)</f>
        <v>#NAME?</v>
      </c>
      <c r="AP123" s="193" t="e">
        <f t="shared" ca="1" si="70"/>
        <v>#NAME?</v>
      </c>
      <c r="AQ123" s="200">
        <v>10802.97</v>
      </c>
      <c r="AR123" s="204">
        <f t="shared" si="81"/>
        <v>50</v>
      </c>
      <c r="AS123" s="204">
        <f t="shared" si="74"/>
        <v>100</v>
      </c>
      <c r="AT123" s="204">
        <f t="shared" si="75"/>
        <v>50</v>
      </c>
      <c r="AU123" s="204">
        <f t="shared" si="76"/>
        <v>108.02969999999999</v>
      </c>
      <c r="AV123" s="204">
        <f t="shared" si="77"/>
        <v>54.014849999999996</v>
      </c>
    </row>
    <row r="124" spans="1:48" ht="12" customHeight="1">
      <c r="A124" s="52"/>
      <c r="B124" s="53"/>
      <c r="C124" s="53"/>
      <c r="D124" s="53"/>
      <c r="E124" s="53"/>
      <c r="F124" s="53"/>
      <c r="G124" s="53"/>
      <c r="H124" s="64"/>
      <c r="I124" s="117"/>
      <c r="J124" s="118"/>
      <c r="K124" s="18"/>
      <c r="L124" s="130"/>
      <c r="M124" s="130"/>
      <c r="N124" s="131"/>
      <c r="O124" s="131"/>
      <c r="P124" s="132"/>
      <c r="Q124" s="132"/>
      <c r="R124" s="164"/>
      <c r="S124" s="165"/>
      <c r="T124" s="165"/>
      <c r="U124" s="90" t="e">
        <f t="shared" ca="1" si="61"/>
        <v>#NAME?</v>
      </c>
      <c r="V124" s="89"/>
      <c r="W124" s="89"/>
      <c r="X124" s="159"/>
      <c r="Y124" s="183"/>
      <c r="Z124" s="183"/>
      <c r="AA124" s="183"/>
      <c r="AB124" s="183"/>
      <c r="AC124" s="178"/>
      <c r="AD124" s="178"/>
      <c r="AE124" s="178"/>
      <c r="AF124" s="178"/>
      <c r="AG124" s="178"/>
      <c r="AH124" s="178"/>
      <c r="AI124" s="183"/>
      <c r="AJ124" s="183"/>
      <c r="AK124" s="171"/>
      <c r="AL124" s="171"/>
      <c r="AM124" s="171"/>
      <c r="AN124" s="187" t="e">
        <f ca="1">__xlfn.ISFORMULA(#REF!)</f>
        <v>#NAME?</v>
      </c>
      <c r="AO124" s="199" t="e">
        <f ca="1">__xlfn.ISFORMULA(#REF!)</f>
        <v>#NAME?</v>
      </c>
      <c r="AP124" s="193" t="e">
        <f t="shared" ca="1" si="70"/>
        <v>#NAME?</v>
      </c>
      <c r="AQ124" s="200"/>
      <c r="AR124" s="204"/>
      <c r="AS124" s="204"/>
      <c r="AT124" s="204"/>
      <c r="AU124" s="204"/>
      <c r="AV124" s="204"/>
    </row>
    <row r="125" spans="1:48" ht="12" customHeight="1">
      <c r="A125" s="52"/>
      <c r="B125" s="53"/>
      <c r="C125" s="53"/>
      <c r="D125" s="53"/>
      <c r="E125" s="53"/>
      <c r="F125" s="53"/>
      <c r="G125" s="53"/>
      <c r="H125" s="64">
        <v>6423</v>
      </c>
      <c r="I125" s="117"/>
      <c r="J125" s="118"/>
      <c r="K125" s="18" t="s">
        <v>160</v>
      </c>
      <c r="L125" s="112">
        <f t="shared" ref="L125:Q125" si="82">L126+L127+L128</f>
        <v>426903</v>
      </c>
      <c r="M125" s="112">
        <f t="shared" si="82"/>
        <v>56659.765080629106</v>
      </c>
      <c r="N125" s="113">
        <f t="shared" si="82"/>
        <v>934012</v>
      </c>
      <c r="O125" s="113">
        <f t="shared" si="82"/>
        <v>123964.6957329617</v>
      </c>
      <c r="P125" s="114">
        <f t="shared" si="82"/>
        <v>31200</v>
      </c>
      <c r="Q125" s="114">
        <f t="shared" si="82"/>
        <v>31200</v>
      </c>
      <c r="R125" s="167">
        <v>31200</v>
      </c>
      <c r="S125" s="90"/>
      <c r="T125" s="90"/>
      <c r="U125" s="90" t="e">
        <f t="shared" ca="1" si="61"/>
        <v>#NAME?</v>
      </c>
      <c r="V125" s="89">
        <f>SUM(V127:V129)</f>
        <v>31200</v>
      </c>
      <c r="W125" s="89">
        <f>SUM(W127:W129)</f>
        <v>31200</v>
      </c>
      <c r="X125" s="88">
        <f>SUM(X127:X129)</f>
        <v>31000</v>
      </c>
      <c r="Y125" s="171">
        <f>SUM(Y127:Y129)</f>
        <v>32000</v>
      </c>
      <c r="Z125" s="171"/>
      <c r="AA125" s="171"/>
      <c r="AB125" s="171"/>
      <c r="AC125" s="172">
        <f>AC126+AC127+AC128</f>
        <v>31200</v>
      </c>
      <c r="AD125" s="172">
        <f>AD126+AD127+AD128</f>
        <v>31200</v>
      </c>
      <c r="AE125" s="178">
        <f>O125/M125*100</f>
        <v>218.78787452887423</v>
      </c>
      <c r="AF125" s="178">
        <f>P125/O125*100</f>
        <v>25.168456079793412</v>
      </c>
      <c r="AG125" s="178">
        <f>Q125/P125*100</f>
        <v>100</v>
      </c>
      <c r="AH125" s="178">
        <f>AC125/Q125*100</f>
        <v>100</v>
      </c>
      <c r="AI125" s="171"/>
      <c r="AJ125" s="171">
        <v>32000</v>
      </c>
      <c r="AK125" s="171">
        <f t="shared" si="59"/>
        <v>100</v>
      </c>
      <c r="AL125" s="171">
        <f t="shared" si="60"/>
        <v>99.358974358974365</v>
      </c>
      <c r="AM125" s="171">
        <f>Y125/X125*100</f>
        <v>103.2258064516129</v>
      </c>
      <c r="AN125" s="187" t="e">
        <f ca="1">__xlfn.ISFORMULA(#REF!)</f>
        <v>#NAME?</v>
      </c>
      <c r="AO125" s="199" t="e">
        <f ca="1">__xlfn.ISFORMULA(#REF!)</f>
        <v>#NAME?</v>
      </c>
      <c r="AP125" s="193" t="e">
        <f t="shared" ca="1" si="70"/>
        <v>#NAME?</v>
      </c>
      <c r="AQ125" s="200">
        <f>SUM(AQ127:AQ129)</f>
        <v>31190.01</v>
      </c>
      <c r="AR125" s="204">
        <f t="shared" si="81"/>
        <v>100</v>
      </c>
      <c r="AS125" s="204">
        <f t="shared" si="74"/>
        <v>100</v>
      </c>
      <c r="AT125" s="204">
        <f t="shared" si="75"/>
        <v>100</v>
      </c>
      <c r="AU125" s="204">
        <f t="shared" si="76"/>
        <v>99.967980769230763</v>
      </c>
      <c r="AV125" s="204">
        <f t="shared" si="77"/>
        <v>99.967980769230763</v>
      </c>
    </row>
    <row r="126" spans="1:48" ht="12" customHeight="1">
      <c r="A126" s="52"/>
      <c r="B126" s="53"/>
      <c r="C126" s="53"/>
      <c r="D126" s="53"/>
      <c r="E126" s="53"/>
      <c r="F126" s="53"/>
      <c r="G126" s="53"/>
      <c r="H126" s="64">
        <v>64231</v>
      </c>
      <c r="I126" s="117"/>
      <c r="J126" s="118"/>
      <c r="K126" s="18" t="s">
        <v>161</v>
      </c>
      <c r="L126" s="130"/>
      <c r="M126" s="130"/>
      <c r="N126" s="131"/>
      <c r="O126" s="131"/>
      <c r="P126" s="132"/>
      <c r="Q126" s="132"/>
      <c r="R126" s="164"/>
      <c r="S126" s="165"/>
      <c r="T126" s="165"/>
      <c r="U126" s="90" t="e">
        <f t="shared" ca="1" si="61"/>
        <v>#NAME?</v>
      </c>
      <c r="V126" s="89"/>
      <c r="W126" s="89"/>
      <c r="X126" s="159"/>
      <c r="Y126" s="183"/>
      <c r="Z126" s="183"/>
      <c r="AA126" s="183"/>
      <c r="AB126" s="183"/>
      <c r="AC126" s="178"/>
      <c r="AD126" s="178"/>
      <c r="AE126" s="178"/>
      <c r="AF126" s="178"/>
      <c r="AG126" s="178"/>
      <c r="AH126" s="178"/>
      <c r="AI126" s="183"/>
      <c r="AJ126" s="183"/>
      <c r="AK126" s="171"/>
      <c r="AL126" s="171"/>
      <c r="AM126" s="171"/>
      <c r="AN126" s="187" t="e">
        <f ca="1">__xlfn.ISFORMULA(#REF!)</f>
        <v>#NAME?</v>
      </c>
      <c r="AO126" s="199" t="e">
        <f ca="1">__xlfn.ISFORMULA(#REF!)</f>
        <v>#NAME?</v>
      </c>
      <c r="AP126" s="193" t="e">
        <f t="shared" ca="1" si="70"/>
        <v>#NAME?</v>
      </c>
      <c r="AQ126" s="200"/>
      <c r="AR126" s="204"/>
      <c r="AS126" s="204"/>
      <c r="AT126" s="204"/>
      <c r="AU126" s="204"/>
      <c r="AV126" s="204"/>
    </row>
    <row r="127" spans="1:48" ht="12" customHeight="1">
      <c r="A127" s="52"/>
      <c r="B127" s="53"/>
      <c r="C127" s="53"/>
      <c r="D127" s="53"/>
      <c r="E127" s="53"/>
      <c r="F127" s="53"/>
      <c r="G127" s="53"/>
      <c r="H127" s="64">
        <v>64236</v>
      </c>
      <c r="I127" s="117"/>
      <c r="J127" s="118"/>
      <c r="K127" s="18" t="s">
        <v>162</v>
      </c>
      <c r="L127" s="130">
        <v>639</v>
      </c>
      <c r="M127" s="130">
        <f>639/7.5345</f>
        <v>84.809874576946044</v>
      </c>
      <c r="N127" s="131">
        <v>193</v>
      </c>
      <c r="O127" s="131">
        <f>N127/7.5345</f>
        <v>25.615502024022827</v>
      </c>
      <c r="P127" s="132"/>
      <c r="Q127" s="132"/>
      <c r="R127" s="164"/>
      <c r="S127" s="165"/>
      <c r="T127" s="165"/>
      <c r="U127" s="90" t="e">
        <f t="shared" ca="1" si="61"/>
        <v>#NAME?</v>
      </c>
      <c r="V127" s="89">
        <v>200</v>
      </c>
      <c r="W127" s="89">
        <v>200</v>
      </c>
      <c r="X127" s="159"/>
      <c r="Y127" s="183"/>
      <c r="Z127" s="183"/>
      <c r="AA127" s="183"/>
      <c r="AB127" s="183"/>
      <c r="AC127" s="178"/>
      <c r="AD127" s="178"/>
      <c r="AE127" s="178">
        <f>O127/M127*100</f>
        <v>30.203442879499221</v>
      </c>
      <c r="AF127" s="178"/>
      <c r="AG127" s="178"/>
      <c r="AH127" s="178"/>
      <c r="AI127" s="183"/>
      <c r="AJ127" s="183"/>
      <c r="AK127" s="171"/>
      <c r="AL127" s="171">
        <f t="shared" si="60"/>
        <v>0</v>
      </c>
      <c r="AM127" s="171"/>
      <c r="AN127" s="187" t="e">
        <f ca="1">__xlfn.ISFORMULA(#REF!)</f>
        <v>#NAME?</v>
      </c>
      <c r="AO127" s="199" t="e">
        <f ca="1">__xlfn.ISFORMULA(#REF!)</f>
        <v>#NAME?</v>
      </c>
      <c r="AP127" s="193" t="e">
        <f t="shared" ca="1" si="70"/>
        <v>#NAME?</v>
      </c>
      <c r="AQ127" s="200">
        <v>156.94</v>
      </c>
      <c r="AR127" s="204"/>
      <c r="AS127" s="204"/>
      <c r="AT127" s="204"/>
      <c r="AU127" s="204">
        <f t="shared" si="76"/>
        <v>78.47</v>
      </c>
      <c r="AV127" s="204"/>
    </row>
    <row r="128" spans="1:48" ht="12" customHeight="1">
      <c r="A128" s="52"/>
      <c r="B128" s="53"/>
      <c r="C128" s="53"/>
      <c r="D128" s="53"/>
      <c r="E128" s="53"/>
      <c r="F128" s="53"/>
      <c r="G128" s="53"/>
      <c r="H128" s="64">
        <v>64239</v>
      </c>
      <c r="I128" s="117"/>
      <c r="J128" s="118"/>
      <c r="K128" s="18" t="s">
        <v>163</v>
      </c>
      <c r="L128" s="130">
        <v>426264</v>
      </c>
      <c r="M128" s="130">
        <f>426264/7.5345</f>
        <v>56574.95520605216</v>
      </c>
      <c r="N128" s="131">
        <v>933819</v>
      </c>
      <c r="O128" s="131">
        <f>N128/7.5345</f>
        <v>123939.08023093767</v>
      </c>
      <c r="P128" s="132">
        <v>31200</v>
      </c>
      <c r="Q128" s="132">
        <v>31200</v>
      </c>
      <c r="R128" s="164">
        <v>31200</v>
      </c>
      <c r="S128" s="165"/>
      <c r="T128" s="165"/>
      <c r="U128" s="90" t="e">
        <f t="shared" ca="1" si="61"/>
        <v>#NAME?</v>
      </c>
      <c r="V128" s="89">
        <v>31000</v>
      </c>
      <c r="W128" s="89">
        <v>31000</v>
      </c>
      <c r="X128" s="159">
        <v>31000</v>
      </c>
      <c r="Y128" s="183">
        <v>32000</v>
      </c>
      <c r="Z128" s="183"/>
      <c r="AA128" s="183"/>
      <c r="AB128" s="183"/>
      <c r="AC128" s="178">
        <v>31200</v>
      </c>
      <c r="AD128" s="178">
        <v>31200</v>
      </c>
      <c r="AE128" s="178">
        <f>O128/M128*100</f>
        <v>219.07057598108213</v>
      </c>
      <c r="AF128" s="178">
        <f>P128/O128*100</f>
        <v>25.173657850182963</v>
      </c>
      <c r="AG128" s="178">
        <f>Q128/P128*100</f>
        <v>100</v>
      </c>
      <c r="AH128" s="178">
        <f>AC128/Q128*100</f>
        <v>100</v>
      </c>
      <c r="AI128" s="183"/>
      <c r="AJ128" s="183">
        <v>32000</v>
      </c>
      <c r="AK128" s="171">
        <f t="shared" si="59"/>
        <v>99.358974358974365</v>
      </c>
      <c r="AL128" s="171">
        <f t="shared" si="60"/>
        <v>100</v>
      </c>
      <c r="AM128" s="171">
        <f>Y128/X128*100</f>
        <v>103.2258064516129</v>
      </c>
      <c r="AN128" s="187" t="e">
        <f ca="1">__xlfn.ISFORMULA(#REF!)</f>
        <v>#NAME?</v>
      </c>
      <c r="AO128" s="199" t="e">
        <f ca="1">__xlfn.ISFORMULA(#REF!)</f>
        <v>#NAME?</v>
      </c>
      <c r="AP128" s="193" t="e">
        <f t="shared" ca="1" si="70"/>
        <v>#NAME?</v>
      </c>
      <c r="AQ128" s="200">
        <v>31033.07</v>
      </c>
      <c r="AR128" s="204">
        <f t="shared" si="81"/>
        <v>99.358974358974365</v>
      </c>
      <c r="AS128" s="204">
        <f t="shared" si="74"/>
        <v>100</v>
      </c>
      <c r="AT128" s="204">
        <f t="shared" si="75"/>
        <v>99.358974358974365</v>
      </c>
      <c r="AU128" s="204">
        <f t="shared" si="76"/>
        <v>100.10667741935484</v>
      </c>
      <c r="AV128" s="204">
        <f t="shared" si="77"/>
        <v>99.464967948717955</v>
      </c>
    </row>
    <row r="129" spans="1:48" ht="12" customHeight="1">
      <c r="A129" s="52"/>
      <c r="B129" s="53"/>
      <c r="C129" s="53"/>
      <c r="D129" s="53"/>
      <c r="E129" s="53"/>
      <c r="F129" s="53"/>
      <c r="G129" s="53"/>
      <c r="H129" s="64"/>
      <c r="I129" s="117"/>
      <c r="J129" s="118"/>
      <c r="K129" s="18"/>
      <c r="L129" s="130"/>
      <c r="M129" s="130"/>
      <c r="N129" s="131"/>
      <c r="O129" s="131"/>
      <c r="P129" s="132"/>
      <c r="Q129" s="132"/>
      <c r="R129" s="164"/>
      <c r="S129" s="165"/>
      <c r="T129" s="165"/>
      <c r="U129" s="90" t="e">
        <f t="shared" ca="1" si="61"/>
        <v>#NAME?</v>
      </c>
      <c r="V129" s="89"/>
      <c r="W129" s="89"/>
      <c r="X129" s="159"/>
      <c r="Y129" s="183"/>
      <c r="Z129" s="183"/>
      <c r="AA129" s="183"/>
      <c r="AB129" s="183"/>
      <c r="AC129" s="178"/>
      <c r="AD129" s="178"/>
      <c r="AE129" s="178"/>
      <c r="AF129" s="178"/>
      <c r="AG129" s="178"/>
      <c r="AH129" s="178"/>
      <c r="AI129" s="183"/>
      <c r="AJ129" s="183"/>
      <c r="AK129" s="171"/>
      <c r="AL129" s="171"/>
      <c r="AM129" s="171"/>
      <c r="AN129" s="187" t="e">
        <f ca="1">__xlfn.ISFORMULA(#REF!)</f>
        <v>#NAME?</v>
      </c>
      <c r="AO129" s="199" t="e">
        <f ca="1">__xlfn.ISFORMULA(#REF!)</f>
        <v>#NAME?</v>
      </c>
      <c r="AP129" s="193" t="e">
        <f t="shared" ca="1" si="70"/>
        <v>#NAME?</v>
      </c>
      <c r="AQ129" s="200"/>
      <c r="AR129" s="204"/>
      <c r="AS129" s="204"/>
      <c r="AT129" s="204"/>
      <c r="AU129" s="204"/>
      <c r="AV129" s="204"/>
    </row>
    <row r="130" spans="1:48" ht="12" customHeight="1">
      <c r="A130" s="47"/>
      <c r="B130" s="42"/>
      <c r="C130" s="42"/>
      <c r="D130" s="42"/>
      <c r="E130" s="42"/>
      <c r="F130" s="42"/>
      <c r="G130" s="42"/>
      <c r="H130" s="38"/>
      <c r="I130" s="73"/>
      <c r="J130" s="91"/>
      <c r="K130" s="84"/>
      <c r="L130" s="85">
        <v>1</v>
      </c>
      <c r="M130" s="85">
        <v>2</v>
      </c>
      <c r="N130" s="86">
        <v>3</v>
      </c>
      <c r="O130" s="86">
        <v>4</v>
      </c>
      <c r="P130" s="87">
        <v>5</v>
      </c>
      <c r="Q130" s="87">
        <v>6</v>
      </c>
      <c r="R130" s="168">
        <v>4</v>
      </c>
      <c r="S130" s="161"/>
      <c r="T130" s="161"/>
      <c r="U130" s="90" t="e">
        <f t="shared" ca="1" si="61"/>
        <v>#NAME?</v>
      </c>
      <c r="V130" s="89"/>
      <c r="W130" s="89"/>
      <c r="X130" s="162"/>
      <c r="Y130" s="181"/>
      <c r="Z130" s="181"/>
      <c r="AA130" s="181"/>
      <c r="AB130" s="181"/>
      <c r="AC130" s="182">
        <v>7</v>
      </c>
      <c r="AD130" s="182">
        <v>8</v>
      </c>
      <c r="AE130" s="182">
        <v>9</v>
      </c>
      <c r="AF130" s="182">
        <v>10</v>
      </c>
      <c r="AG130" s="182">
        <v>11</v>
      </c>
      <c r="AH130" s="182">
        <v>12</v>
      </c>
      <c r="AI130" s="181"/>
      <c r="AJ130" s="181"/>
      <c r="AK130" s="171">
        <f t="shared" si="59"/>
        <v>0</v>
      </c>
      <c r="AL130" s="171"/>
      <c r="AM130" s="171"/>
      <c r="AN130" s="187" t="e">
        <f ca="1">__xlfn.ISFORMULA(#REF!)</f>
        <v>#NAME?</v>
      </c>
      <c r="AO130" s="199" t="e">
        <f ca="1">__xlfn.ISFORMULA(#REF!)</f>
        <v>#NAME?</v>
      </c>
      <c r="AP130" s="193" t="e">
        <f t="shared" ca="1" si="70"/>
        <v>#NAME?</v>
      </c>
      <c r="AQ130" s="200"/>
      <c r="AR130" s="204">
        <f t="shared" si="81"/>
        <v>0</v>
      </c>
      <c r="AS130" s="204" t="e">
        <f t="shared" si="74"/>
        <v>#DIV/0!</v>
      </c>
      <c r="AT130" s="204">
        <f t="shared" si="75"/>
        <v>0</v>
      </c>
      <c r="AU130" s="204"/>
      <c r="AV130" s="204">
        <f t="shared" si="77"/>
        <v>0</v>
      </c>
    </row>
    <row r="131" spans="1:48" ht="12" customHeight="1">
      <c r="A131" s="52"/>
      <c r="B131" s="53"/>
      <c r="C131" s="53"/>
      <c r="D131" s="53"/>
      <c r="E131" s="53"/>
      <c r="F131" s="53"/>
      <c r="G131" s="53"/>
      <c r="H131" s="64">
        <v>6429</v>
      </c>
      <c r="I131" s="117"/>
      <c r="J131" s="118"/>
      <c r="K131" s="18" t="s">
        <v>164</v>
      </c>
      <c r="L131" s="112">
        <f t="shared" ref="L131:Q131" si="83">L132</f>
        <v>70289</v>
      </c>
      <c r="M131" s="112">
        <f t="shared" si="83"/>
        <v>9328.9534806556494</v>
      </c>
      <c r="N131" s="113">
        <f t="shared" si="83"/>
        <v>31706</v>
      </c>
      <c r="O131" s="113">
        <f t="shared" si="83"/>
        <v>4208.1093635941334</v>
      </c>
      <c r="P131" s="114">
        <f t="shared" si="83"/>
        <v>6600</v>
      </c>
      <c r="Q131" s="114">
        <f t="shared" si="83"/>
        <v>6600</v>
      </c>
      <c r="R131" s="167">
        <v>6600</v>
      </c>
      <c r="S131" s="90"/>
      <c r="T131" s="90"/>
      <c r="U131" s="90" t="e">
        <f t="shared" ca="1" si="61"/>
        <v>#NAME?</v>
      </c>
      <c r="V131" s="89">
        <f>V132</f>
        <v>2000</v>
      </c>
      <c r="W131" s="89">
        <f>W132</f>
        <v>2000</v>
      </c>
      <c r="X131" s="88">
        <f>X132</f>
        <v>0</v>
      </c>
      <c r="Y131" s="171">
        <f>Y132</f>
        <v>0</v>
      </c>
      <c r="Z131" s="171"/>
      <c r="AA131" s="171"/>
      <c r="AB131" s="171"/>
      <c r="AC131" s="172">
        <f>AC132</f>
        <v>3000</v>
      </c>
      <c r="AD131" s="172">
        <f>AD132</f>
        <v>3000</v>
      </c>
      <c r="AE131" s="178">
        <f>O131/M131*100</f>
        <v>45.108053891789609</v>
      </c>
      <c r="AF131" s="178">
        <f>P131/O131*100</f>
        <v>156.84003027818079</v>
      </c>
      <c r="AG131" s="178">
        <f>Q131/P131*100</f>
        <v>100</v>
      </c>
      <c r="AH131" s="178">
        <f>AC131/Q131*100</f>
        <v>45.454545454545453</v>
      </c>
      <c r="AI131" s="171"/>
      <c r="AJ131" s="171">
        <v>0</v>
      </c>
      <c r="AK131" s="171">
        <f t="shared" si="59"/>
        <v>30.303030303030305</v>
      </c>
      <c r="AL131" s="171">
        <f t="shared" si="60"/>
        <v>0</v>
      </c>
      <c r="AM131" s="171"/>
      <c r="AN131" s="187" t="e">
        <f ca="1">__xlfn.ISFORMULA(#REF!)</f>
        <v>#NAME?</v>
      </c>
      <c r="AO131" s="199" t="e">
        <f ca="1">__xlfn.ISFORMULA(#REF!)</f>
        <v>#NAME?</v>
      </c>
      <c r="AP131" s="193" t="e">
        <f t="shared" ca="1" si="70"/>
        <v>#NAME?</v>
      </c>
      <c r="AQ131" s="200">
        <f>AQ132</f>
        <v>1685.86</v>
      </c>
      <c r="AR131" s="204">
        <f t="shared" si="81"/>
        <v>30.303030303030305</v>
      </c>
      <c r="AS131" s="204">
        <f t="shared" si="74"/>
        <v>100</v>
      </c>
      <c r="AT131" s="204">
        <f t="shared" si="75"/>
        <v>30.303030303030305</v>
      </c>
      <c r="AU131" s="204">
        <f t="shared" si="76"/>
        <v>84.292999999999992</v>
      </c>
      <c r="AV131" s="204">
        <f t="shared" si="77"/>
        <v>25.543333333333333</v>
      </c>
    </row>
    <row r="132" spans="1:48" ht="12" customHeight="1">
      <c r="A132" s="52"/>
      <c r="B132" s="53"/>
      <c r="C132" s="53"/>
      <c r="D132" s="53"/>
      <c r="E132" s="53"/>
      <c r="F132" s="53"/>
      <c r="G132" s="53"/>
      <c r="H132" s="64">
        <v>64299</v>
      </c>
      <c r="I132" s="117"/>
      <c r="J132" s="118"/>
      <c r="K132" s="18" t="s">
        <v>165</v>
      </c>
      <c r="L132" s="130">
        <v>70289</v>
      </c>
      <c r="M132" s="130">
        <f>70289/7.5345</f>
        <v>9328.9534806556494</v>
      </c>
      <c r="N132" s="131">
        <v>31706</v>
      </c>
      <c r="O132" s="131">
        <f>N132/7.5345</f>
        <v>4208.1093635941334</v>
      </c>
      <c r="P132" s="132">
        <v>6600</v>
      </c>
      <c r="Q132" s="132">
        <v>6600</v>
      </c>
      <c r="R132" s="164">
        <v>6600</v>
      </c>
      <c r="S132" s="165"/>
      <c r="T132" s="165"/>
      <c r="U132" s="90" t="e">
        <f t="shared" ca="1" si="61"/>
        <v>#NAME?</v>
      </c>
      <c r="V132" s="89">
        <v>2000</v>
      </c>
      <c r="W132" s="89">
        <v>2000</v>
      </c>
      <c r="X132" s="159"/>
      <c r="Y132" s="183"/>
      <c r="Z132" s="183"/>
      <c r="AA132" s="183"/>
      <c r="AB132" s="183"/>
      <c r="AC132" s="178">
        <v>3000</v>
      </c>
      <c r="AD132" s="178">
        <v>3000</v>
      </c>
      <c r="AE132" s="178">
        <f>O132/M132*100</f>
        <v>45.108053891789609</v>
      </c>
      <c r="AF132" s="178">
        <f>P132/O132*100</f>
        <v>156.84003027818079</v>
      </c>
      <c r="AG132" s="178">
        <f>Q132/P132*100</f>
        <v>100</v>
      </c>
      <c r="AH132" s="178">
        <f>AC132/Q132*100</f>
        <v>45.454545454545453</v>
      </c>
      <c r="AI132" s="183"/>
      <c r="AJ132" s="183"/>
      <c r="AK132" s="171">
        <f t="shared" si="59"/>
        <v>30.303030303030305</v>
      </c>
      <c r="AL132" s="171">
        <f t="shared" si="60"/>
        <v>0</v>
      </c>
      <c r="AM132" s="171"/>
      <c r="AN132" s="187" t="e">
        <f ca="1">__xlfn.ISFORMULA(#REF!)</f>
        <v>#NAME?</v>
      </c>
      <c r="AO132" s="199" t="e">
        <f ca="1">__xlfn.ISFORMULA(#REF!)</f>
        <v>#NAME?</v>
      </c>
      <c r="AP132" s="193" t="e">
        <f t="shared" ca="1" si="70"/>
        <v>#NAME?</v>
      </c>
      <c r="AQ132" s="200">
        <v>1685.86</v>
      </c>
      <c r="AR132" s="204">
        <f t="shared" si="81"/>
        <v>30.303030303030305</v>
      </c>
      <c r="AS132" s="204">
        <f t="shared" si="74"/>
        <v>100</v>
      </c>
      <c r="AT132" s="204">
        <f t="shared" si="75"/>
        <v>30.303030303030305</v>
      </c>
      <c r="AU132" s="204">
        <f t="shared" si="76"/>
        <v>84.292999999999992</v>
      </c>
      <c r="AV132" s="204">
        <f t="shared" si="77"/>
        <v>25.543333333333333</v>
      </c>
    </row>
    <row r="133" spans="1:48" ht="12" customHeight="1">
      <c r="A133" s="47"/>
      <c r="B133" s="42"/>
      <c r="C133" s="42"/>
      <c r="D133" s="42"/>
      <c r="E133" s="42"/>
      <c r="F133" s="42"/>
      <c r="G133" s="42"/>
      <c r="H133" s="38"/>
      <c r="I133" s="73"/>
      <c r="J133" s="91"/>
      <c r="K133" s="84"/>
      <c r="L133" s="85"/>
      <c r="M133" s="85"/>
      <c r="N133" s="86"/>
      <c r="O133" s="86"/>
      <c r="P133" s="87"/>
      <c r="Q133" s="87"/>
      <c r="R133" s="168"/>
      <c r="S133" s="161"/>
      <c r="T133" s="161"/>
      <c r="U133" s="90" t="e">
        <f t="shared" ca="1" si="61"/>
        <v>#NAME?</v>
      </c>
      <c r="V133" s="89"/>
      <c r="W133" s="89"/>
      <c r="X133" s="162"/>
      <c r="Y133" s="181"/>
      <c r="Z133" s="181"/>
      <c r="AA133" s="181"/>
      <c r="AB133" s="181"/>
      <c r="AC133" s="182"/>
      <c r="AD133" s="182"/>
      <c r="AE133" s="178"/>
      <c r="AF133" s="178"/>
      <c r="AG133" s="178"/>
      <c r="AH133" s="178"/>
      <c r="AI133" s="181"/>
      <c r="AJ133" s="181"/>
      <c r="AK133" s="171"/>
      <c r="AL133" s="171"/>
      <c r="AM133" s="171"/>
      <c r="AN133" s="187" t="e">
        <f ca="1">__xlfn.ISFORMULA(#REF!)</f>
        <v>#NAME?</v>
      </c>
      <c r="AO133" s="199" t="e">
        <f ca="1">__xlfn.ISFORMULA(#REF!)</f>
        <v>#NAME?</v>
      </c>
      <c r="AP133" s="193" t="e">
        <f t="shared" ca="1" si="70"/>
        <v>#NAME?</v>
      </c>
      <c r="AQ133" s="200"/>
      <c r="AR133" s="204"/>
      <c r="AS133" s="204"/>
      <c r="AT133" s="204"/>
      <c r="AU133" s="204"/>
      <c r="AV133" s="204"/>
    </row>
    <row r="134" spans="1:48" ht="12" customHeight="1">
      <c r="A134" s="58"/>
      <c r="B134" s="59"/>
      <c r="C134" s="59"/>
      <c r="D134" s="59"/>
      <c r="E134" s="59"/>
      <c r="F134" s="59"/>
      <c r="G134" s="59"/>
      <c r="H134" s="60">
        <v>65</v>
      </c>
      <c r="I134" s="125"/>
      <c r="J134" s="126"/>
      <c r="K134" s="127" t="s">
        <v>166</v>
      </c>
      <c r="L134" s="112">
        <f t="shared" ref="L134:Q134" si="84">L136+L145+L153</f>
        <v>6212249</v>
      </c>
      <c r="M134" s="112">
        <f t="shared" si="84"/>
        <v>824507.26206118509</v>
      </c>
      <c r="N134" s="113">
        <f t="shared" si="84"/>
        <v>6564620</v>
      </c>
      <c r="O134" s="113">
        <f t="shared" si="84"/>
        <v>871274.80257482245</v>
      </c>
      <c r="P134" s="114">
        <f t="shared" si="84"/>
        <v>1250800</v>
      </c>
      <c r="Q134" s="114">
        <f t="shared" si="84"/>
        <v>869000</v>
      </c>
      <c r="R134" s="167">
        <v>869000</v>
      </c>
      <c r="S134" s="90"/>
      <c r="T134" s="90"/>
      <c r="U134" s="90" t="e">
        <f t="shared" ca="1" si="61"/>
        <v>#NAME?</v>
      </c>
      <c r="V134" s="89">
        <f>V136+V145+V153</f>
        <v>1073100</v>
      </c>
      <c r="W134" s="89">
        <f>W136+W145+W153</f>
        <v>1073100</v>
      </c>
      <c r="X134" s="88">
        <f>X136+X145+X153</f>
        <v>1350000</v>
      </c>
      <c r="Y134" s="171">
        <f>Y136+Y145+Y153</f>
        <v>1210000</v>
      </c>
      <c r="Z134" s="171"/>
      <c r="AA134" s="171"/>
      <c r="AB134" s="171"/>
      <c r="AC134" s="172">
        <f>AC136+AC145+AC153</f>
        <v>1255300</v>
      </c>
      <c r="AD134" s="172">
        <f>AD136+AD145+AD153</f>
        <v>1255300</v>
      </c>
      <c r="AE134" s="178">
        <f>O134/M134*100</f>
        <v>105.67218054535059</v>
      </c>
      <c r="AF134" s="178">
        <f>P134/O134*100</f>
        <v>143.55975821905915</v>
      </c>
      <c r="AG134" s="178">
        <f>Q134/P134*100</f>
        <v>69.475535657179407</v>
      </c>
      <c r="AH134" s="178">
        <f>AC134/Q134*100</f>
        <v>144.45339470655927</v>
      </c>
      <c r="AI134" s="171"/>
      <c r="AJ134" s="171">
        <v>1210000</v>
      </c>
      <c r="AK134" s="171">
        <f t="shared" si="59"/>
        <v>123.48676639815881</v>
      </c>
      <c r="AL134" s="171">
        <f t="shared" si="60"/>
        <v>125.80374615599665</v>
      </c>
      <c r="AM134" s="171">
        <f>Y134/X134*100</f>
        <v>89.629629629629619</v>
      </c>
      <c r="AN134" s="187" t="e">
        <f ca="1">__xlfn.ISFORMULA(#REF!)</f>
        <v>#NAME?</v>
      </c>
      <c r="AO134" s="199" t="e">
        <f ca="1">__xlfn.ISFORMULA(#REF!)</f>
        <v>#NAME?</v>
      </c>
      <c r="AP134" s="193" t="e">
        <f t="shared" ca="1" si="70"/>
        <v>#NAME?</v>
      </c>
      <c r="AQ134" s="200">
        <f>AQ136+AQ145+AQ153</f>
        <v>689452.57000000007</v>
      </c>
      <c r="AR134" s="204">
        <f t="shared" si="81"/>
        <v>123.48676639815881</v>
      </c>
      <c r="AS134" s="204">
        <f t="shared" si="74"/>
        <v>100</v>
      </c>
      <c r="AT134" s="204">
        <f t="shared" si="75"/>
        <v>123.48676639815881</v>
      </c>
      <c r="AU134" s="204">
        <f t="shared" si="76"/>
        <v>64.248678594725575</v>
      </c>
      <c r="AV134" s="204">
        <f t="shared" si="77"/>
        <v>79.338615650172613</v>
      </c>
    </row>
    <row r="135" spans="1:48" ht="12" customHeight="1">
      <c r="A135" s="68"/>
      <c r="B135" s="69"/>
      <c r="C135" s="69"/>
      <c r="D135" s="69"/>
      <c r="E135" s="69"/>
      <c r="F135" s="69"/>
      <c r="G135" s="69"/>
      <c r="H135" s="211"/>
      <c r="I135" s="141"/>
      <c r="J135" s="142"/>
      <c r="K135" s="7"/>
      <c r="L135" s="217"/>
      <c r="M135" s="217"/>
      <c r="N135" s="218"/>
      <c r="O135" s="218"/>
      <c r="P135" s="219"/>
      <c r="Q135" s="219"/>
      <c r="R135" s="221"/>
      <c r="S135" s="222"/>
      <c r="T135" s="222"/>
      <c r="U135" s="90" t="e">
        <f t="shared" ca="1" si="61"/>
        <v>#NAME?</v>
      </c>
      <c r="V135" s="89"/>
      <c r="W135" s="89"/>
      <c r="X135" s="88"/>
      <c r="Y135" s="223"/>
      <c r="Z135" s="223"/>
      <c r="AA135" s="223"/>
      <c r="AB135" s="223"/>
      <c r="AC135" s="224"/>
      <c r="AD135" s="224"/>
      <c r="AE135" s="178"/>
      <c r="AF135" s="178"/>
      <c r="AG135" s="178"/>
      <c r="AH135" s="178"/>
      <c r="AI135" s="223"/>
      <c r="AJ135" s="223"/>
      <c r="AK135" s="171"/>
      <c r="AL135" s="171"/>
      <c r="AM135" s="171"/>
      <c r="AN135" s="187" t="e">
        <f ca="1">__xlfn.ISFORMULA(#REF!)</f>
        <v>#NAME?</v>
      </c>
      <c r="AO135" s="199" t="e">
        <f ca="1">__xlfn.ISFORMULA(#REF!)</f>
        <v>#NAME?</v>
      </c>
      <c r="AP135" s="193" t="e">
        <f t="shared" ca="1" si="70"/>
        <v>#NAME?</v>
      </c>
      <c r="AQ135" s="200"/>
      <c r="AR135" s="204"/>
      <c r="AS135" s="204"/>
      <c r="AT135" s="204"/>
      <c r="AU135" s="204"/>
      <c r="AV135" s="204"/>
    </row>
    <row r="136" spans="1:48" ht="12" customHeight="1">
      <c r="A136" s="61"/>
      <c r="B136" s="62"/>
      <c r="C136" s="62"/>
      <c r="D136" s="62"/>
      <c r="E136" s="62"/>
      <c r="F136" s="62"/>
      <c r="G136" s="62"/>
      <c r="H136" s="63">
        <v>651</v>
      </c>
      <c r="I136" s="128"/>
      <c r="J136" s="129"/>
      <c r="K136" s="19" t="s">
        <v>167</v>
      </c>
      <c r="L136" s="112">
        <f t="shared" ref="L136:Q136" si="85">L138+L141</f>
        <v>694053</v>
      </c>
      <c r="M136" s="112">
        <f t="shared" si="85"/>
        <v>92116.791558829384</v>
      </c>
      <c r="N136" s="113">
        <f t="shared" si="85"/>
        <v>868465</v>
      </c>
      <c r="O136" s="113">
        <f t="shared" si="85"/>
        <v>115265.11380980822</v>
      </c>
      <c r="P136" s="114">
        <f t="shared" si="85"/>
        <v>107800</v>
      </c>
      <c r="Q136" s="114">
        <f t="shared" si="85"/>
        <v>113000</v>
      </c>
      <c r="R136" s="167">
        <v>113000</v>
      </c>
      <c r="S136" s="90"/>
      <c r="T136" s="90"/>
      <c r="U136" s="90" t="e">
        <f t="shared" ca="1" si="61"/>
        <v>#NAME?</v>
      </c>
      <c r="V136" s="89">
        <f>V138+V141</f>
        <v>160100</v>
      </c>
      <c r="W136" s="89">
        <f>W138+W141</f>
        <v>160100</v>
      </c>
      <c r="X136" s="88">
        <f>X138+X141</f>
        <v>210000</v>
      </c>
      <c r="Y136" s="171">
        <f>Y138+Y141</f>
        <v>240000</v>
      </c>
      <c r="Z136" s="171"/>
      <c r="AA136" s="171"/>
      <c r="AB136" s="171"/>
      <c r="AC136" s="172">
        <f>AC138+AC141</f>
        <v>108300</v>
      </c>
      <c r="AD136" s="172">
        <f>AD138+AD141</f>
        <v>108300</v>
      </c>
      <c r="AE136" s="178">
        <f>O136/M136*100</f>
        <v>125.12931883455298</v>
      </c>
      <c r="AF136" s="178">
        <f>P136/O136*100</f>
        <v>93.523527142717327</v>
      </c>
      <c r="AG136" s="178">
        <f>Q136/P136*100</f>
        <v>104.82374768089053</v>
      </c>
      <c r="AH136" s="178">
        <f>AC136/Q136*100</f>
        <v>95.840707964601762</v>
      </c>
      <c r="AI136" s="171"/>
      <c r="AJ136" s="171">
        <v>240000</v>
      </c>
      <c r="AK136" s="171">
        <f t="shared" si="59"/>
        <v>141.68141592920352</v>
      </c>
      <c r="AL136" s="171">
        <f t="shared" si="60"/>
        <v>131.16801998750779</v>
      </c>
      <c r="AM136" s="171">
        <f>Y136/X136*100</f>
        <v>114.28571428571428</v>
      </c>
      <c r="AN136" s="187" t="e">
        <f ca="1">__xlfn.ISFORMULA(#REF!)</f>
        <v>#NAME?</v>
      </c>
      <c r="AO136" s="199" t="e">
        <f ca="1">__xlfn.ISFORMULA(#REF!)</f>
        <v>#NAME?</v>
      </c>
      <c r="AP136" s="193" t="e">
        <f t="shared" ca="1" si="70"/>
        <v>#NAME?</v>
      </c>
      <c r="AQ136" s="200">
        <f>AQ138+AQ141</f>
        <v>142871.34</v>
      </c>
      <c r="AR136" s="204">
        <f t="shared" si="81"/>
        <v>141.68141592920352</v>
      </c>
      <c r="AS136" s="204">
        <f t="shared" si="74"/>
        <v>100</v>
      </c>
      <c r="AT136" s="204">
        <f t="shared" si="75"/>
        <v>141.68141592920352</v>
      </c>
      <c r="AU136" s="204">
        <f t="shared" si="76"/>
        <v>89.238813241723918</v>
      </c>
      <c r="AV136" s="204">
        <f t="shared" si="77"/>
        <v>126.43481415929203</v>
      </c>
    </row>
    <row r="137" spans="1:48" ht="12" customHeight="1">
      <c r="A137" s="52"/>
      <c r="B137" s="53"/>
      <c r="C137" s="53"/>
      <c r="D137" s="53"/>
      <c r="E137" s="53"/>
      <c r="F137" s="53"/>
      <c r="G137" s="53"/>
      <c r="H137" s="64"/>
      <c r="I137" s="117"/>
      <c r="J137" s="118"/>
      <c r="K137" s="18"/>
      <c r="L137" s="119"/>
      <c r="M137" s="119"/>
      <c r="N137" s="120"/>
      <c r="O137" s="120"/>
      <c r="P137" s="121"/>
      <c r="Q137" s="121"/>
      <c r="R137" s="220"/>
      <c r="S137" s="158"/>
      <c r="T137" s="158"/>
      <c r="U137" s="90" t="e">
        <f t="shared" ca="1" si="61"/>
        <v>#NAME?</v>
      </c>
      <c r="V137" s="89"/>
      <c r="W137" s="89"/>
      <c r="X137" s="159"/>
      <c r="Y137" s="179"/>
      <c r="Z137" s="179"/>
      <c r="AA137" s="179"/>
      <c r="AB137" s="179"/>
      <c r="AC137" s="180"/>
      <c r="AD137" s="180"/>
      <c r="AE137" s="178"/>
      <c r="AF137" s="178"/>
      <c r="AG137" s="178"/>
      <c r="AH137" s="178"/>
      <c r="AI137" s="179"/>
      <c r="AJ137" s="179"/>
      <c r="AK137" s="171"/>
      <c r="AL137" s="171"/>
      <c r="AM137" s="171"/>
      <c r="AN137" s="187" t="e">
        <f ca="1">__xlfn.ISFORMULA(#REF!)</f>
        <v>#NAME?</v>
      </c>
      <c r="AO137" s="199" t="e">
        <f ca="1">__xlfn.ISFORMULA(#REF!)</f>
        <v>#NAME?</v>
      </c>
      <c r="AP137" s="193" t="e">
        <f t="shared" ca="1" si="70"/>
        <v>#NAME?</v>
      </c>
      <c r="AQ137" s="200"/>
      <c r="AR137" s="204"/>
      <c r="AS137" s="204"/>
      <c r="AT137" s="204"/>
      <c r="AU137" s="204"/>
      <c r="AV137" s="204"/>
    </row>
    <row r="138" spans="1:48" ht="12" customHeight="1">
      <c r="A138" s="52"/>
      <c r="B138" s="53"/>
      <c r="C138" s="53"/>
      <c r="D138" s="53"/>
      <c r="E138" s="53"/>
      <c r="F138" s="53"/>
      <c r="G138" s="53"/>
      <c r="H138" s="64">
        <v>6511</v>
      </c>
      <c r="I138" s="117"/>
      <c r="J138" s="118"/>
      <c r="K138" s="18" t="s">
        <v>168</v>
      </c>
      <c r="L138" s="112">
        <f t="shared" ref="L138:Q138" si="86">L139+L140</f>
        <v>8297</v>
      </c>
      <c r="M138" s="112">
        <f t="shared" si="86"/>
        <v>1101.3293516490808</v>
      </c>
      <c r="N138" s="113">
        <f t="shared" si="86"/>
        <v>3148</v>
      </c>
      <c r="O138" s="113">
        <f t="shared" si="86"/>
        <v>417.8114008892428</v>
      </c>
      <c r="P138" s="114">
        <f t="shared" si="86"/>
        <v>1300</v>
      </c>
      <c r="Q138" s="114">
        <f t="shared" si="86"/>
        <v>500</v>
      </c>
      <c r="R138" s="167">
        <v>500</v>
      </c>
      <c r="S138" s="90"/>
      <c r="T138" s="90"/>
      <c r="U138" s="90" t="e">
        <f t="shared" ca="1" si="61"/>
        <v>#NAME?</v>
      </c>
      <c r="V138" s="89">
        <f>V139</f>
        <v>100</v>
      </c>
      <c r="W138" s="89">
        <f>W139</f>
        <v>100</v>
      </c>
      <c r="X138" s="88">
        <f>X139</f>
        <v>0</v>
      </c>
      <c r="Y138" s="171">
        <f>Y139</f>
        <v>0</v>
      </c>
      <c r="Z138" s="171"/>
      <c r="AA138" s="171"/>
      <c r="AB138" s="171"/>
      <c r="AC138" s="172">
        <f>AC139+AC140</f>
        <v>1300</v>
      </c>
      <c r="AD138" s="172">
        <f>AD139+AD140</f>
        <v>1300</v>
      </c>
      <c r="AE138" s="178">
        <f t="shared" ref="AE138:AE143" si="87">O138/M138*100</f>
        <v>37.937007695620835</v>
      </c>
      <c r="AF138" s="178">
        <f>P138/O138*100</f>
        <v>311.14517153748415</v>
      </c>
      <c r="AG138" s="178">
        <f>Q138/P138*100</f>
        <v>38.461538461538467</v>
      </c>
      <c r="AH138" s="178">
        <f>AC138/Q138*100</f>
        <v>260</v>
      </c>
      <c r="AI138" s="171"/>
      <c r="AJ138" s="171">
        <v>0</v>
      </c>
      <c r="AK138" s="171">
        <f t="shared" si="59"/>
        <v>20</v>
      </c>
      <c r="AL138" s="171">
        <f t="shared" si="60"/>
        <v>0</v>
      </c>
      <c r="AM138" s="171"/>
      <c r="AN138" s="187" t="e">
        <f ca="1">__xlfn.ISFORMULA(#REF!)</f>
        <v>#NAME?</v>
      </c>
      <c r="AO138" s="199" t="e">
        <f ca="1">__xlfn.ISFORMULA(#REF!)</f>
        <v>#NAME?</v>
      </c>
      <c r="AP138" s="193" t="e">
        <f t="shared" ca="1" si="70"/>
        <v>#NAME?</v>
      </c>
      <c r="AQ138" s="200">
        <f>AQ139</f>
        <v>0</v>
      </c>
      <c r="AR138" s="204">
        <f t="shared" si="81"/>
        <v>20</v>
      </c>
      <c r="AS138" s="204">
        <f t="shared" si="74"/>
        <v>100</v>
      </c>
      <c r="AT138" s="204">
        <f t="shared" si="75"/>
        <v>20</v>
      </c>
      <c r="AU138" s="204">
        <f t="shared" si="76"/>
        <v>0</v>
      </c>
      <c r="AV138" s="204">
        <f t="shared" si="77"/>
        <v>0</v>
      </c>
    </row>
    <row r="139" spans="1:48" ht="12" customHeight="1">
      <c r="A139" s="52"/>
      <c r="B139" s="53"/>
      <c r="C139" s="53"/>
      <c r="D139" s="53"/>
      <c r="E139" s="53"/>
      <c r="F139" s="53"/>
      <c r="G139" s="53"/>
      <c r="H139" s="64">
        <v>65111</v>
      </c>
      <c r="I139" s="117"/>
      <c r="J139" s="118"/>
      <c r="K139" s="18" t="s">
        <v>169</v>
      </c>
      <c r="L139" s="130">
        <v>8087</v>
      </c>
      <c r="M139" s="130">
        <f>8087/7.5345</f>
        <v>1073.3293516490808</v>
      </c>
      <c r="N139" s="131">
        <v>3148</v>
      </c>
      <c r="O139" s="131">
        <f>N139/7.5345</f>
        <v>417.8114008892428</v>
      </c>
      <c r="P139" s="132">
        <v>1300</v>
      </c>
      <c r="Q139" s="163">
        <v>500</v>
      </c>
      <c r="R139" s="164">
        <v>500</v>
      </c>
      <c r="S139" s="165"/>
      <c r="T139" s="165"/>
      <c r="U139" s="90" t="e">
        <f t="shared" ca="1" si="61"/>
        <v>#NAME?</v>
      </c>
      <c r="V139" s="89">
        <v>100</v>
      </c>
      <c r="W139" s="89">
        <v>100</v>
      </c>
      <c r="X139" s="159"/>
      <c r="Y139" s="183"/>
      <c r="Z139" s="183"/>
      <c r="AA139" s="183"/>
      <c r="AB139" s="183"/>
      <c r="AC139" s="178">
        <v>1300</v>
      </c>
      <c r="AD139" s="178">
        <v>1300</v>
      </c>
      <c r="AE139" s="178">
        <f t="shared" si="87"/>
        <v>38.92667243724496</v>
      </c>
      <c r="AF139" s="178">
        <f>P139/O139*100</f>
        <v>311.14517153748415</v>
      </c>
      <c r="AG139" s="178">
        <f>Q139/P139*100</f>
        <v>38.461538461538467</v>
      </c>
      <c r="AH139" s="178">
        <f>AC139/Q139*100</f>
        <v>260</v>
      </c>
      <c r="AI139" s="183"/>
      <c r="AJ139" s="183"/>
      <c r="AK139" s="171">
        <f t="shared" si="59"/>
        <v>20</v>
      </c>
      <c r="AL139" s="171">
        <f t="shared" si="60"/>
        <v>0</v>
      </c>
      <c r="AM139" s="171"/>
      <c r="AN139" s="187" t="e">
        <f ca="1">__xlfn.ISFORMULA(#REF!)</f>
        <v>#NAME?</v>
      </c>
      <c r="AO139" s="199" t="e">
        <f ca="1">__xlfn.ISFORMULA(#REF!)</f>
        <v>#NAME?</v>
      </c>
      <c r="AP139" s="193" t="e">
        <f t="shared" ca="1" si="70"/>
        <v>#NAME?</v>
      </c>
      <c r="AQ139" s="200"/>
      <c r="AR139" s="204">
        <f t="shared" si="81"/>
        <v>20</v>
      </c>
      <c r="AS139" s="204">
        <f t="shared" si="74"/>
        <v>100</v>
      </c>
      <c r="AT139" s="204">
        <f t="shared" si="75"/>
        <v>20</v>
      </c>
      <c r="AU139" s="204">
        <f t="shared" si="76"/>
        <v>0</v>
      </c>
      <c r="AV139" s="204">
        <f t="shared" si="77"/>
        <v>0</v>
      </c>
    </row>
    <row r="140" spans="1:48" ht="12" customHeight="1">
      <c r="A140" s="47"/>
      <c r="B140" s="42"/>
      <c r="C140" s="42"/>
      <c r="D140" s="42"/>
      <c r="E140" s="42"/>
      <c r="F140" s="42"/>
      <c r="G140" s="42"/>
      <c r="H140" s="64">
        <v>65123</v>
      </c>
      <c r="I140" s="73"/>
      <c r="J140" s="91"/>
      <c r="K140" s="227" t="s">
        <v>170</v>
      </c>
      <c r="L140" s="160">
        <v>210</v>
      </c>
      <c r="M140" s="160">
        <v>28</v>
      </c>
      <c r="N140" s="86"/>
      <c r="O140" s="86"/>
      <c r="P140" s="87"/>
      <c r="Q140" s="87"/>
      <c r="R140" s="168"/>
      <c r="S140" s="161"/>
      <c r="T140" s="161"/>
      <c r="U140" s="90" t="e">
        <f t="shared" ca="1" si="61"/>
        <v>#NAME?</v>
      </c>
      <c r="V140" s="89"/>
      <c r="W140" s="89"/>
      <c r="X140" s="162"/>
      <c r="Y140" s="181"/>
      <c r="Z140" s="181"/>
      <c r="AA140" s="181"/>
      <c r="AB140" s="181"/>
      <c r="AC140" s="182"/>
      <c r="AD140" s="182"/>
      <c r="AE140" s="178">
        <f t="shared" si="87"/>
        <v>0</v>
      </c>
      <c r="AF140" s="178"/>
      <c r="AG140" s="178"/>
      <c r="AH140" s="178"/>
      <c r="AI140" s="181"/>
      <c r="AJ140" s="181"/>
      <c r="AK140" s="171"/>
      <c r="AL140" s="171"/>
      <c r="AM140" s="171"/>
      <c r="AN140" s="187" t="e">
        <f ca="1">__xlfn.ISFORMULA(#REF!)</f>
        <v>#NAME?</v>
      </c>
      <c r="AO140" s="199" t="e">
        <f ca="1">__xlfn.ISFORMULA(#REF!)</f>
        <v>#NAME?</v>
      </c>
      <c r="AP140" s="193" t="e">
        <f t="shared" ca="1" si="70"/>
        <v>#NAME?</v>
      </c>
      <c r="AQ140" s="200"/>
      <c r="AR140" s="204"/>
      <c r="AS140" s="204"/>
      <c r="AT140" s="204"/>
      <c r="AU140" s="204"/>
      <c r="AV140" s="204"/>
    </row>
    <row r="141" spans="1:48" ht="12" customHeight="1">
      <c r="A141" s="52"/>
      <c r="B141" s="53"/>
      <c r="C141" s="53"/>
      <c r="D141" s="53"/>
      <c r="E141" s="53"/>
      <c r="F141" s="53"/>
      <c r="G141" s="53"/>
      <c r="H141" s="64">
        <v>6514</v>
      </c>
      <c r="I141" s="117"/>
      <c r="J141" s="118"/>
      <c r="K141" s="18" t="s">
        <v>171</v>
      </c>
      <c r="L141" s="112">
        <f t="shared" ref="L141:Q141" si="88">L142+L143</f>
        <v>685756</v>
      </c>
      <c r="M141" s="112">
        <f t="shared" si="88"/>
        <v>91015.462207180302</v>
      </c>
      <c r="N141" s="113">
        <f t="shared" si="88"/>
        <v>865317</v>
      </c>
      <c r="O141" s="113">
        <f t="shared" si="88"/>
        <v>114847.30240891897</v>
      </c>
      <c r="P141" s="114">
        <f t="shared" si="88"/>
        <v>106500</v>
      </c>
      <c r="Q141" s="114">
        <f t="shared" si="88"/>
        <v>112500</v>
      </c>
      <c r="R141" s="167">
        <v>112500</v>
      </c>
      <c r="S141" s="90"/>
      <c r="T141" s="90"/>
      <c r="U141" s="90" t="e">
        <f t="shared" ca="1" si="61"/>
        <v>#NAME?</v>
      </c>
      <c r="V141" s="89">
        <f>SUM(V142:V144)</f>
        <v>160000</v>
      </c>
      <c r="W141" s="89">
        <f>SUM(W142:W144)</f>
        <v>160000</v>
      </c>
      <c r="X141" s="88">
        <f>SUM(X142:X144)</f>
        <v>210000</v>
      </c>
      <c r="Y141" s="171">
        <f>SUM(Y142:Y144)</f>
        <v>240000</v>
      </c>
      <c r="Z141" s="171"/>
      <c r="AA141" s="171"/>
      <c r="AB141" s="171"/>
      <c r="AC141" s="172">
        <f>AC142+AC143</f>
        <v>107000</v>
      </c>
      <c r="AD141" s="172">
        <f>AD142+AD143</f>
        <v>107000</v>
      </c>
      <c r="AE141" s="178">
        <f t="shared" si="87"/>
        <v>126.18438628316777</v>
      </c>
      <c r="AF141" s="178">
        <f t="shared" ref="AF141:AG143" si="89">P141/O141*100</f>
        <v>92.731825446628235</v>
      </c>
      <c r="AG141" s="178">
        <f t="shared" si="89"/>
        <v>105.63380281690141</v>
      </c>
      <c r="AH141" s="178">
        <f>AC141/Q141*100</f>
        <v>95.111111111111114</v>
      </c>
      <c r="AI141" s="171"/>
      <c r="AJ141" s="171">
        <v>240000</v>
      </c>
      <c r="AK141" s="171">
        <f t="shared" si="59"/>
        <v>142.22222222222223</v>
      </c>
      <c r="AL141" s="171">
        <f t="shared" si="60"/>
        <v>131.25</v>
      </c>
      <c r="AM141" s="171">
        <f>Y141/X141*100</f>
        <v>114.28571428571428</v>
      </c>
      <c r="AN141" s="187" t="e">
        <f ca="1">__xlfn.ISFORMULA(#REF!)</f>
        <v>#NAME?</v>
      </c>
      <c r="AO141" s="199" t="e">
        <f ca="1">__xlfn.ISFORMULA(#REF!)</f>
        <v>#NAME?</v>
      </c>
      <c r="AP141" s="193" t="e">
        <f t="shared" ca="1" si="70"/>
        <v>#NAME?</v>
      </c>
      <c r="AQ141" s="200">
        <f>SUM(AQ142:AQ144)</f>
        <v>142871.34</v>
      </c>
      <c r="AR141" s="204">
        <f t="shared" si="81"/>
        <v>142.22222222222223</v>
      </c>
      <c r="AS141" s="204">
        <f t="shared" si="74"/>
        <v>100</v>
      </c>
      <c r="AT141" s="204">
        <f t="shared" si="75"/>
        <v>142.22222222222223</v>
      </c>
      <c r="AU141" s="204">
        <f t="shared" si="76"/>
        <v>89.294587500000006</v>
      </c>
      <c r="AV141" s="204">
        <f t="shared" si="77"/>
        <v>126.99674666666667</v>
      </c>
    </row>
    <row r="142" spans="1:48" ht="12" customHeight="1">
      <c r="A142" s="52"/>
      <c r="B142" s="53"/>
      <c r="C142" s="53"/>
      <c r="D142" s="53"/>
      <c r="E142" s="53"/>
      <c r="F142" s="53"/>
      <c r="G142" s="53"/>
      <c r="H142" s="64">
        <v>65141</v>
      </c>
      <c r="I142" s="117"/>
      <c r="J142" s="118"/>
      <c r="K142" s="18" t="s">
        <v>172</v>
      </c>
      <c r="L142" s="130">
        <v>504528</v>
      </c>
      <c r="M142" s="130">
        <f>504528/7.5345</f>
        <v>66962.373083814455</v>
      </c>
      <c r="N142" s="131">
        <v>676946</v>
      </c>
      <c r="O142" s="131">
        <f>N142/7.5345</f>
        <v>89846.174265047448</v>
      </c>
      <c r="P142" s="132">
        <v>80000</v>
      </c>
      <c r="Q142" s="132">
        <v>80000</v>
      </c>
      <c r="R142" s="164">
        <v>80000</v>
      </c>
      <c r="S142" s="165"/>
      <c r="T142" s="165"/>
      <c r="U142" s="90" t="e">
        <f t="shared" ca="1" si="61"/>
        <v>#NAME?</v>
      </c>
      <c r="V142" s="89">
        <v>110000</v>
      </c>
      <c r="W142" s="89">
        <v>110000</v>
      </c>
      <c r="X142" s="159">
        <v>140000</v>
      </c>
      <c r="Y142" s="183">
        <v>150000</v>
      </c>
      <c r="Z142" s="183"/>
      <c r="AA142" s="183"/>
      <c r="AB142" s="183"/>
      <c r="AC142" s="178">
        <v>80000</v>
      </c>
      <c r="AD142" s="178">
        <v>80000</v>
      </c>
      <c r="AE142" s="178">
        <f t="shared" si="87"/>
        <v>134.17411917673547</v>
      </c>
      <c r="AF142" s="178">
        <f t="shared" si="89"/>
        <v>89.041075654483521</v>
      </c>
      <c r="AG142" s="178">
        <f t="shared" si="89"/>
        <v>100</v>
      </c>
      <c r="AH142" s="178">
        <f>AC142/Q142*100</f>
        <v>100</v>
      </c>
      <c r="AI142" s="183"/>
      <c r="AJ142" s="183">
        <v>150000</v>
      </c>
      <c r="AK142" s="171">
        <f t="shared" si="59"/>
        <v>137.5</v>
      </c>
      <c r="AL142" s="171">
        <f t="shared" si="60"/>
        <v>127.27272727272727</v>
      </c>
      <c r="AM142" s="171">
        <f>Y142/X142*100</f>
        <v>107.14285714285714</v>
      </c>
      <c r="AN142" s="187" t="e">
        <f ca="1">__xlfn.ISFORMULA(#REF!)</f>
        <v>#NAME?</v>
      </c>
      <c r="AO142" s="199" t="e">
        <f ca="1">__xlfn.ISFORMULA(#REF!)</f>
        <v>#NAME?</v>
      </c>
      <c r="AP142" s="193" t="e">
        <f t="shared" ca="1" si="70"/>
        <v>#NAME?</v>
      </c>
      <c r="AQ142" s="200">
        <v>98053.65</v>
      </c>
      <c r="AR142" s="204">
        <f t="shared" si="81"/>
        <v>137.5</v>
      </c>
      <c r="AS142" s="204">
        <f t="shared" si="74"/>
        <v>100</v>
      </c>
      <c r="AT142" s="204">
        <f t="shared" si="75"/>
        <v>137.5</v>
      </c>
      <c r="AU142" s="204">
        <f t="shared" si="76"/>
        <v>89.139681818181813</v>
      </c>
      <c r="AV142" s="204">
        <f t="shared" si="77"/>
        <v>122.56706250000001</v>
      </c>
    </row>
    <row r="143" spans="1:48" ht="12" customHeight="1">
      <c r="A143" s="52"/>
      <c r="B143" s="53"/>
      <c r="C143" s="53"/>
      <c r="D143" s="53"/>
      <c r="E143" s="53"/>
      <c r="F143" s="53"/>
      <c r="G143" s="53"/>
      <c r="H143" s="64">
        <v>65141</v>
      </c>
      <c r="I143" s="117"/>
      <c r="J143" s="118"/>
      <c r="K143" s="18" t="s">
        <v>173</v>
      </c>
      <c r="L143" s="130">
        <v>181228</v>
      </c>
      <c r="M143" s="130">
        <f>181228/7.5345</f>
        <v>24053.089123365848</v>
      </c>
      <c r="N143" s="131">
        <v>188371</v>
      </c>
      <c r="O143" s="131">
        <f>N143/7.5345</f>
        <v>25001.128143871523</v>
      </c>
      <c r="P143" s="132">
        <v>26500</v>
      </c>
      <c r="Q143" s="163">
        <v>32500</v>
      </c>
      <c r="R143" s="164">
        <v>32500</v>
      </c>
      <c r="S143" s="165"/>
      <c r="T143" s="165"/>
      <c r="U143" s="90" t="e">
        <f t="shared" ca="1" si="61"/>
        <v>#NAME?</v>
      </c>
      <c r="V143" s="89">
        <v>35000</v>
      </c>
      <c r="W143" s="89">
        <v>35000</v>
      </c>
      <c r="X143" s="159">
        <v>55000</v>
      </c>
      <c r="Y143" s="183">
        <v>70000</v>
      </c>
      <c r="Z143" s="183"/>
      <c r="AA143" s="183"/>
      <c r="AB143" s="183"/>
      <c r="AC143" s="178">
        <v>27000</v>
      </c>
      <c r="AD143" s="178">
        <v>27000</v>
      </c>
      <c r="AE143" s="178">
        <f t="shared" si="87"/>
        <v>103.94144392698701</v>
      </c>
      <c r="AF143" s="178">
        <f t="shared" si="89"/>
        <v>105.99521688582638</v>
      </c>
      <c r="AG143" s="178">
        <f t="shared" si="89"/>
        <v>122.64150943396226</v>
      </c>
      <c r="AH143" s="178">
        <f>AC143/Q143*100</f>
        <v>83.07692307692308</v>
      </c>
      <c r="AI143" s="183"/>
      <c r="AJ143" s="183">
        <v>70000</v>
      </c>
      <c r="AK143" s="171">
        <f t="shared" si="59"/>
        <v>107.69230769230769</v>
      </c>
      <c r="AL143" s="171">
        <f t="shared" si="60"/>
        <v>157.14285714285714</v>
      </c>
      <c r="AM143" s="171">
        <f>Y143/X143*100</f>
        <v>127.27272727272727</v>
      </c>
      <c r="AN143" s="187" t="e">
        <f ca="1">__xlfn.ISFORMULA(#REF!)</f>
        <v>#NAME?</v>
      </c>
      <c r="AO143" s="199" t="e">
        <f ca="1">__xlfn.ISFORMULA(#REF!)</f>
        <v>#NAME?</v>
      </c>
      <c r="AP143" s="193" t="e">
        <f t="shared" ca="1" si="70"/>
        <v>#NAME?</v>
      </c>
      <c r="AQ143" s="200">
        <v>30543.3</v>
      </c>
      <c r="AR143" s="204">
        <f t="shared" si="81"/>
        <v>107.69230769230769</v>
      </c>
      <c r="AS143" s="204">
        <f t="shared" si="74"/>
        <v>100</v>
      </c>
      <c r="AT143" s="204">
        <f t="shared" si="75"/>
        <v>107.69230769230769</v>
      </c>
      <c r="AU143" s="204">
        <f t="shared" si="76"/>
        <v>87.266571428571424</v>
      </c>
      <c r="AV143" s="204">
        <f t="shared" si="77"/>
        <v>93.979384615384603</v>
      </c>
    </row>
    <row r="144" spans="1:48" ht="12" customHeight="1">
      <c r="A144" s="47"/>
      <c r="B144" s="42"/>
      <c r="C144" s="42"/>
      <c r="D144" s="42"/>
      <c r="E144" s="42"/>
      <c r="F144" s="42"/>
      <c r="G144" s="42"/>
      <c r="H144" s="64">
        <v>65149</v>
      </c>
      <c r="I144" s="73"/>
      <c r="J144" s="74"/>
      <c r="K144" s="228" t="s">
        <v>174</v>
      </c>
      <c r="L144" s="85"/>
      <c r="M144" s="85"/>
      <c r="N144" s="86"/>
      <c r="O144" s="86"/>
      <c r="P144" s="87"/>
      <c r="Q144" s="87"/>
      <c r="R144" s="168"/>
      <c r="S144" s="139"/>
      <c r="T144" s="139"/>
      <c r="U144" s="90" t="e">
        <f t="shared" ca="1" si="61"/>
        <v>#NAME?</v>
      </c>
      <c r="V144" s="89">
        <v>15000</v>
      </c>
      <c r="W144" s="89">
        <v>15000</v>
      </c>
      <c r="X144" s="159">
        <v>15000</v>
      </c>
      <c r="Y144" s="183">
        <v>20000</v>
      </c>
      <c r="Z144" s="184"/>
      <c r="AA144" s="184"/>
      <c r="AB144" s="184"/>
      <c r="AC144" s="182"/>
      <c r="AD144" s="182"/>
      <c r="AE144" s="178"/>
      <c r="AF144" s="178"/>
      <c r="AG144" s="178"/>
      <c r="AH144" s="178"/>
      <c r="AI144" s="184"/>
      <c r="AJ144" s="183">
        <v>20000</v>
      </c>
      <c r="AK144" s="171"/>
      <c r="AL144" s="171">
        <f t="shared" si="60"/>
        <v>100</v>
      </c>
      <c r="AM144" s="171">
        <f>Y144/X144*100</f>
        <v>133.33333333333331</v>
      </c>
      <c r="AN144" s="187" t="e">
        <f ca="1">__xlfn.ISFORMULA(#REF!)</f>
        <v>#NAME?</v>
      </c>
      <c r="AO144" s="199" t="e">
        <f ca="1">__xlfn.ISFORMULA(#REF!)</f>
        <v>#NAME?</v>
      </c>
      <c r="AP144" s="193" t="e">
        <f t="shared" ca="1" si="70"/>
        <v>#NAME?</v>
      </c>
      <c r="AQ144" s="200">
        <v>14274.39</v>
      </c>
      <c r="AR144" s="204"/>
      <c r="AS144" s="204"/>
      <c r="AT144" s="204"/>
      <c r="AU144" s="204">
        <f t="shared" si="76"/>
        <v>95.162599999999998</v>
      </c>
      <c r="AV144" s="204"/>
    </row>
    <row r="145" spans="1:48" ht="12" customHeight="1">
      <c r="A145" s="61"/>
      <c r="B145" s="62"/>
      <c r="C145" s="62"/>
      <c r="D145" s="62"/>
      <c r="E145" s="62"/>
      <c r="F145" s="62"/>
      <c r="G145" s="62"/>
      <c r="H145" s="63">
        <v>652</v>
      </c>
      <c r="I145" s="128"/>
      <c r="J145" s="129"/>
      <c r="K145" s="19" t="s">
        <v>175</v>
      </c>
      <c r="L145" s="112">
        <f t="shared" ref="L145:Q145" si="90">L147+L150+L151</f>
        <v>573398</v>
      </c>
      <c r="M145" s="112">
        <f t="shared" si="90"/>
        <v>76102.992899329751</v>
      </c>
      <c r="N145" s="113">
        <f t="shared" si="90"/>
        <v>599438</v>
      </c>
      <c r="O145" s="113">
        <f t="shared" si="90"/>
        <v>79559.094830446615</v>
      </c>
      <c r="P145" s="114">
        <f t="shared" si="90"/>
        <v>107000</v>
      </c>
      <c r="Q145" s="114">
        <f t="shared" si="90"/>
        <v>116000</v>
      </c>
      <c r="R145" s="167">
        <v>116000</v>
      </c>
      <c r="S145" s="90"/>
      <c r="T145" s="90"/>
      <c r="U145" s="90" t="e">
        <f t="shared" ca="1" si="61"/>
        <v>#NAME?</v>
      </c>
      <c r="V145" s="89">
        <f>V147+V151</f>
        <v>133000</v>
      </c>
      <c r="W145" s="89">
        <f>W147+W151</f>
        <v>133000</v>
      </c>
      <c r="X145" s="88">
        <f>X147+X151</f>
        <v>150000</v>
      </c>
      <c r="Y145" s="171">
        <f>Y147+Y151</f>
        <v>170000</v>
      </c>
      <c r="Z145" s="171"/>
      <c r="AA145" s="171"/>
      <c r="AB145" s="171"/>
      <c r="AC145" s="172">
        <f>AC147+AC150+AC151</f>
        <v>107000</v>
      </c>
      <c r="AD145" s="172">
        <f>AD147+AD150+AD151</f>
        <v>107000</v>
      </c>
      <c r="AE145" s="178">
        <f>O145/M145*100</f>
        <v>104.54134824327954</v>
      </c>
      <c r="AF145" s="178">
        <f>P145/O145*100</f>
        <v>134.49122344596105</v>
      </c>
      <c r="AG145" s="178">
        <f>Q145/P145*100</f>
        <v>108.41121495327101</v>
      </c>
      <c r="AH145" s="178">
        <f>AC145/Q145*100</f>
        <v>92.241379310344826</v>
      </c>
      <c r="AI145" s="171"/>
      <c r="AJ145" s="171">
        <v>170000</v>
      </c>
      <c r="AK145" s="171">
        <f t="shared" si="59"/>
        <v>114.65517241379311</v>
      </c>
      <c r="AL145" s="171">
        <f t="shared" si="60"/>
        <v>112.78195488721805</v>
      </c>
      <c r="AM145" s="171">
        <f>Y145/X145*100</f>
        <v>113.33333333333333</v>
      </c>
      <c r="AN145" s="187" t="e">
        <f ca="1">__xlfn.ISFORMULA(#REF!)</f>
        <v>#NAME?</v>
      </c>
      <c r="AO145" s="199" t="e">
        <f ca="1">__xlfn.ISFORMULA(#REF!)</f>
        <v>#NAME?</v>
      </c>
      <c r="AP145" s="193" t="e">
        <f t="shared" ca="1" si="70"/>
        <v>#NAME?</v>
      </c>
      <c r="AQ145" s="200">
        <f>AQ147+AQ151</f>
        <v>108261.09</v>
      </c>
      <c r="AR145" s="204">
        <f t="shared" si="81"/>
        <v>114.65517241379311</v>
      </c>
      <c r="AS145" s="204">
        <f t="shared" si="74"/>
        <v>100</v>
      </c>
      <c r="AT145" s="204">
        <f>W145/R145*100</f>
        <v>114.65517241379311</v>
      </c>
      <c r="AU145" s="204">
        <f t="shared" si="76"/>
        <v>81.399315789473675</v>
      </c>
      <c r="AV145" s="204">
        <f>AQ145/R145*100</f>
        <v>93.328525862068972</v>
      </c>
    </row>
    <row r="146" spans="1:48" ht="12" customHeight="1">
      <c r="A146" s="52"/>
      <c r="B146" s="53"/>
      <c r="C146" s="53"/>
      <c r="D146" s="53"/>
      <c r="E146" s="53"/>
      <c r="F146" s="53"/>
      <c r="G146" s="53"/>
      <c r="H146" s="64"/>
      <c r="I146" s="117"/>
      <c r="J146" s="118"/>
      <c r="K146" s="18"/>
      <c r="L146" s="119"/>
      <c r="M146" s="119"/>
      <c r="N146" s="120"/>
      <c r="O146" s="120"/>
      <c r="P146" s="121"/>
      <c r="Q146" s="121"/>
      <c r="R146" s="220"/>
      <c r="S146" s="158"/>
      <c r="T146" s="158"/>
      <c r="U146" s="90" t="e">
        <f t="shared" ca="1" si="61"/>
        <v>#NAME?</v>
      </c>
      <c r="V146" s="89"/>
      <c r="W146" s="89"/>
      <c r="X146" s="159"/>
      <c r="Y146" s="179"/>
      <c r="Z146" s="179"/>
      <c r="AA146" s="179"/>
      <c r="AB146" s="179"/>
      <c r="AC146" s="180"/>
      <c r="AD146" s="180"/>
      <c r="AE146" s="178"/>
      <c r="AF146" s="178"/>
      <c r="AG146" s="178"/>
      <c r="AH146" s="178"/>
      <c r="AI146" s="179"/>
      <c r="AJ146" s="179"/>
      <c r="AK146" s="171"/>
      <c r="AL146" s="171"/>
      <c r="AM146" s="171"/>
      <c r="AN146" s="187" t="e">
        <f ca="1">__xlfn.ISFORMULA(#REF!)</f>
        <v>#NAME?</v>
      </c>
      <c r="AO146" s="199" t="e">
        <f ca="1">__xlfn.ISFORMULA(#REF!)</f>
        <v>#NAME?</v>
      </c>
      <c r="AP146" s="193" t="e">
        <f t="shared" ca="1" si="70"/>
        <v>#NAME?</v>
      </c>
      <c r="AQ146" s="200"/>
      <c r="AR146" s="204"/>
      <c r="AS146" s="204"/>
      <c r="AT146" s="204"/>
      <c r="AU146" s="204"/>
      <c r="AV146" s="204"/>
    </row>
    <row r="147" spans="1:48" ht="12" customHeight="1">
      <c r="A147" s="52"/>
      <c r="B147" s="53"/>
      <c r="C147" s="53"/>
      <c r="D147" s="53"/>
      <c r="E147" s="53"/>
      <c r="F147" s="53"/>
      <c r="G147" s="53"/>
      <c r="H147" s="64">
        <v>6522</v>
      </c>
      <c r="I147" s="117"/>
      <c r="J147" s="118"/>
      <c r="K147" s="18" t="s">
        <v>176</v>
      </c>
      <c r="L147" s="112">
        <f t="shared" ref="L147:Q147" si="91">L148</f>
        <v>27036</v>
      </c>
      <c r="M147" s="112">
        <f t="shared" si="91"/>
        <v>3588.2938482978298</v>
      </c>
      <c r="N147" s="113">
        <f t="shared" si="91"/>
        <v>23645</v>
      </c>
      <c r="O147" s="113">
        <f t="shared" si="91"/>
        <v>3138.2308049638327</v>
      </c>
      <c r="P147" s="114">
        <f t="shared" si="91"/>
        <v>5000</v>
      </c>
      <c r="Q147" s="114">
        <f t="shared" si="91"/>
        <v>3000</v>
      </c>
      <c r="R147" s="167">
        <v>3000</v>
      </c>
      <c r="S147" s="90"/>
      <c r="T147" s="90"/>
      <c r="U147" s="90" t="e">
        <f t="shared" ca="1" si="61"/>
        <v>#NAME?</v>
      </c>
      <c r="V147" s="89">
        <f>V148</f>
        <v>3000</v>
      </c>
      <c r="W147" s="89">
        <f>W148</f>
        <v>3000</v>
      </c>
      <c r="X147" s="88">
        <f>X148</f>
        <v>5000</v>
      </c>
      <c r="Y147" s="171">
        <f>Y148</f>
        <v>5000</v>
      </c>
      <c r="Z147" s="171"/>
      <c r="AA147" s="171"/>
      <c r="AB147" s="171"/>
      <c r="AC147" s="172">
        <f>AC148</f>
        <v>5000</v>
      </c>
      <c r="AD147" s="172">
        <f>AD148</f>
        <v>5000</v>
      </c>
      <c r="AE147" s="178">
        <f>O147/M147*100</f>
        <v>87.457464121911528</v>
      </c>
      <c r="AF147" s="178">
        <f>P147/O147*100</f>
        <v>159.32543878198354</v>
      </c>
      <c r="AG147" s="178">
        <f>Q147/P147*100</f>
        <v>60</v>
      </c>
      <c r="AH147" s="178">
        <f>AC147/Q147*100</f>
        <v>166.66666666666669</v>
      </c>
      <c r="AI147" s="171"/>
      <c r="AJ147" s="171">
        <v>5000</v>
      </c>
      <c r="AK147" s="171">
        <f t="shared" si="59"/>
        <v>100</v>
      </c>
      <c r="AL147" s="171">
        <f t="shared" si="60"/>
        <v>166.66666666666669</v>
      </c>
      <c r="AM147" s="171">
        <f>Y147/X147*100</f>
        <v>100</v>
      </c>
      <c r="AN147" s="187" t="e">
        <f ca="1">__xlfn.ISFORMULA(#REF!)</f>
        <v>#NAME?</v>
      </c>
      <c r="AO147" s="199" t="e">
        <f ca="1">__xlfn.ISFORMULA(#REF!)</f>
        <v>#NAME?</v>
      </c>
      <c r="AP147" s="193" t="e">
        <f t="shared" ca="1" si="70"/>
        <v>#NAME?</v>
      </c>
      <c r="AQ147" s="200">
        <f>AQ148</f>
        <v>1396.08</v>
      </c>
      <c r="AR147" s="204">
        <f t="shared" si="81"/>
        <v>100</v>
      </c>
      <c r="AS147" s="204">
        <f t="shared" si="74"/>
        <v>100</v>
      </c>
      <c r="AT147" s="204">
        <f>W147/R147*100</f>
        <v>100</v>
      </c>
      <c r="AU147" s="204">
        <f t="shared" si="76"/>
        <v>46.536000000000001</v>
      </c>
      <c r="AV147" s="204">
        <f>AQ147/R147*100</f>
        <v>46.536000000000001</v>
      </c>
    </row>
    <row r="148" spans="1:48" ht="12" customHeight="1">
      <c r="A148" s="52"/>
      <c r="B148" s="53"/>
      <c r="C148" s="53"/>
      <c r="D148" s="53"/>
      <c r="E148" s="53"/>
      <c r="F148" s="53"/>
      <c r="G148" s="53"/>
      <c r="H148" s="64">
        <v>65221</v>
      </c>
      <c r="I148" s="117"/>
      <c r="J148" s="118"/>
      <c r="K148" s="18" t="s">
        <v>177</v>
      </c>
      <c r="L148" s="130">
        <v>27036</v>
      </c>
      <c r="M148" s="130">
        <f>27036/7.5345</f>
        <v>3588.2938482978298</v>
      </c>
      <c r="N148" s="131">
        <v>23645</v>
      </c>
      <c r="O148" s="131">
        <f>N148/7.5345</f>
        <v>3138.2308049638327</v>
      </c>
      <c r="P148" s="132">
        <v>5000</v>
      </c>
      <c r="Q148" s="132">
        <v>3000</v>
      </c>
      <c r="R148" s="164">
        <v>3000</v>
      </c>
      <c r="S148" s="165"/>
      <c r="T148" s="165"/>
      <c r="U148" s="90" t="e">
        <f t="shared" ca="1" si="61"/>
        <v>#NAME?</v>
      </c>
      <c r="V148" s="89">
        <v>3000</v>
      </c>
      <c r="W148" s="89">
        <v>3000</v>
      </c>
      <c r="X148" s="159">
        <v>5000</v>
      </c>
      <c r="Y148" s="183">
        <v>5000</v>
      </c>
      <c r="Z148" s="183"/>
      <c r="AA148" s="183"/>
      <c r="AB148" s="183"/>
      <c r="AC148" s="178">
        <v>5000</v>
      </c>
      <c r="AD148" s="178">
        <v>5000</v>
      </c>
      <c r="AE148" s="178">
        <f>O148/M148*100</f>
        <v>87.457464121911528</v>
      </c>
      <c r="AF148" s="178">
        <f>P148/O148*100</f>
        <v>159.32543878198354</v>
      </c>
      <c r="AG148" s="178">
        <f>Q148/P148*100</f>
        <v>60</v>
      </c>
      <c r="AH148" s="178">
        <f>AC148/Q148*100</f>
        <v>166.66666666666669</v>
      </c>
      <c r="AI148" s="183"/>
      <c r="AJ148" s="183">
        <v>5000</v>
      </c>
      <c r="AK148" s="171">
        <f t="shared" si="59"/>
        <v>100</v>
      </c>
      <c r="AL148" s="171">
        <f t="shared" si="60"/>
        <v>166.66666666666669</v>
      </c>
      <c r="AM148" s="171">
        <f>Y148/X148*100</f>
        <v>100</v>
      </c>
      <c r="AN148" s="187" t="e">
        <f ca="1">__xlfn.ISFORMULA(#REF!)</f>
        <v>#NAME?</v>
      </c>
      <c r="AO148" s="199" t="e">
        <f ca="1">__xlfn.ISFORMULA(#REF!)</f>
        <v>#NAME?</v>
      </c>
      <c r="AP148" s="193" t="e">
        <f t="shared" ca="1" si="70"/>
        <v>#NAME?</v>
      </c>
      <c r="AQ148" s="200">
        <v>1396.08</v>
      </c>
      <c r="AR148" s="204">
        <f t="shared" si="81"/>
        <v>100</v>
      </c>
      <c r="AS148" s="204">
        <f t="shared" si="74"/>
        <v>100</v>
      </c>
      <c r="AT148" s="204">
        <f>W148/R148*100</f>
        <v>100</v>
      </c>
      <c r="AU148" s="204">
        <f t="shared" si="76"/>
        <v>46.536000000000001</v>
      </c>
      <c r="AV148" s="204">
        <f>AQ148/R148*100</f>
        <v>46.536000000000001</v>
      </c>
    </row>
    <row r="149" spans="1:48" ht="12" customHeight="1">
      <c r="A149" s="52"/>
      <c r="B149" s="53"/>
      <c r="C149" s="53"/>
      <c r="D149" s="53"/>
      <c r="E149" s="53"/>
      <c r="F149" s="53"/>
      <c r="G149" s="53"/>
      <c r="H149" s="64"/>
      <c r="I149" s="117"/>
      <c r="J149" s="118"/>
      <c r="K149" s="18"/>
      <c r="L149" s="119"/>
      <c r="M149" s="119"/>
      <c r="N149" s="120"/>
      <c r="O149" s="131"/>
      <c r="P149" s="121"/>
      <c r="Q149" s="121"/>
      <c r="R149" s="220"/>
      <c r="S149" s="158"/>
      <c r="T149" s="158"/>
      <c r="U149" s="90" t="e">
        <f t="shared" ca="1" si="61"/>
        <v>#NAME?</v>
      </c>
      <c r="V149" s="89"/>
      <c r="W149" s="89"/>
      <c r="X149" s="159"/>
      <c r="Y149" s="179"/>
      <c r="Z149" s="179"/>
      <c r="AA149" s="179"/>
      <c r="AB149" s="179"/>
      <c r="AC149" s="180"/>
      <c r="AD149" s="180"/>
      <c r="AE149" s="178"/>
      <c r="AF149" s="178"/>
      <c r="AG149" s="178"/>
      <c r="AH149" s="178"/>
      <c r="AI149" s="179"/>
      <c r="AJ149" s="179"/>
      <c r="AK149" s="171"/>
      <c r="AL149" s="171"/>
      <c r="AM149" s="171"/>
      <c r="AN149" s="187" t="e">
        <f ca="1">__xlfn.ISFORMULA(#REF!)</f>
        <v>#NAME?</v>
      </c>
      <c r="AO149" s="199" t="e">
        <f ca="1">__xlfn.ISFORMULA(#REF!)</f>
        <v>#NAME?</v>
      </c>
      <c r="AP149" s="193" t="e">
        <f t="shared" ca="1" si="70"/>
        <v>#NAME?</v>
      </c>
      <c r="AQ149" s="200"/>
      <c r="AR149" s="204"/>
      <c r="AS149" s="204"/>
      <c r="AT149" s="204"/>
      <c r="AU149" s="204"/>
      <c r="AV149" s="204"/>
    </row>
    <row r="150" spans="1:48" ht="12" customHeight="1">
      <c r="A150" s="68"/>
      <c r="B150" s="69"/>
      <c r="C150" s="69"/>
      <c r="D150" s="69"/>
      <c r="E150" s="69"/>
      <c r="F150" s="69"/>
      <c r="G150" s="69"/>
      <c r="H150" s="64">
        <v>6524</v>
      </c>
      <c r="I150" s="141"/>
      <c r="J150" s="142"/>
      <c r="K150" s="229" t="s">
        <v>178</v>
      </c>
      <c r="L150" s="217"/>
      <c r="M150" s="217"/>
      <c r="N150" s="218"/>
      <c r="O150" s="131"/>
      <c r="P150" s="219"/>
      <c r="Q150" s="219"/>
      <c r="R150" s="221"/>
      <c r="S150" s="222"/>
      <c r="T150" s="222"/>
      <c r="U150" s="90" t="e">
        <f t="shared" ref="U150:U168" ca="1" si="92">__xlfn.ISFORMULA(S150)</f>
        <v>#NAME?</v>
      </c>
      <c r="V150" s="89"/>
      <c r="W150" s="89"/>
      <c r="X150" s="88"/>
      <c r="Y150" s="223"/>
      <c r="Z150" s="223"/>
      <c r="AA150" s="223"/>
      <c r="AB150" s="223"/>
      <c r="AC150" s="224"/>
      <c r="AD150" s="224"/>
      <c r="AE150" s="178"/>
      <c r="AF150" s="178"/>
      <c r="AG150" s="178"/>
      <c r="AH150" s="178"/>
      <c r="AI150" s="223"/>
      <c r="AJ150" s="223"/>
      <c r="AK150" s="171"/>
      <c r="AL150" s="171"/>
      <c r="AM150" s="171"/>
      <c r="AN150" s="187" t="e">
        <f ca="1">__xlfn.ISFORMULA(#REF!)</f>
        <v>#NAME?</v>
      </c>
      <c r="AO150" s="199" t="e">
        <f ca="1">__xlfn.ISFORMULA(#REF!)</f>
        <v>#NAME?</v>
      </c>
      <c r="AP150" s="193" t="e">
        <f t="shared" ca="1" si="70"/>
        <v>#NAME?</v>
      </c>
      <c r="AQ150" s="200"/>
      <c r="AR150" s="204"/>
      <c r="AS150" s="204"/>
      <c r="AT150" s="204"/>
      <c r="AU150" s="204"/>
      <c r="AV150" s="204"/>
    </row>
    <row r="151" spans="1:48" ht="12" customHeight="1">
      <c r="A151" s="52"/>
      <c r="B151" s="53"/>
      <c r="C151" s="53"/>
      <c r="D151" s="53"/>
      <c r="E151" s="53"/>
      <c r="F151" s="53"/>
      <c r="G151" s="53"/>
      <c r="H151" s="64">
        <v>6526</v>
      </c>
      <c r="I151" s="117"/>
      <c r="J151" s="118"/>
      <c r="K151" s="18" t="s">
        <v>179</v>
      </c>
      <c r="L151" s="130">
        <v>546362</v>
      </c>
      <c r="M151" s="130">
        <f>546362/7.5345</f>
        <v>72514.699051031916</v>
      </c>
      <c r="N151" s="131">
        <v>575793</v>
      </c>
      <c r="O151" s="131">
        <f>N151/7.5345</f>
        <v>76420.864025482777</v>
      </c>
      <c r="P151" s="132">
        <v>102000</v>
      </c>
      <c r="Q151" s="163">
        <v>113000</v>
      </c>
      <c r="R151" s="164">
        <v>113000</v>
      </c>
      <c r="S151" s="165"/>
      <c r="T151" s="165"/>
      <c r="U151" s="90" t="e">
        <f t="shared" ca="1" si="92"/>
        <v>#NAME?</v>
      </c>
      <c r="V151" s="89">
        <v>130000</v>
      </c>
      <c r="W151" s="89">
        <v>130000</v>
      </c>
      <c r="X151" s="159">
        <v>145000</v>
      </c>
      <c r="Y151" s="183">
        <v>165000</v>
      </c>
      <c r="Z151" s="183"/>
      <c r="AA151" s="183"/>
      <c r="AB151" s="183"/>
      <c r="AC151" s="178">
        <v>102000</v>
      </c>
      <c r="AD151" s="178">
        <v>102000</v>
      </c>
      <c r="AE151" s="178">
        <f>O151/M151*100</f>
        <v>105.38672162412466</v>
      </c>
      <c r="AF151" s="178">
        <f>P151/O151*100</f>
        <v>133.4714037857355</v>
      </c>
      <c r="AG151" s="178">
        <f>Q151/P151*100</f>
        <v>110.78431372549021</v>
      </c>
      <c r="AH151" s="178">
        <f>AC151/Q151*100</f>
        <v>90.265486725663706</v>
      </c>
      <c r="AI151" s="183"/>
      <c r="AJ151" s="183">
        <v>165000</v>
      </c>
      <c r="AK151" s="171">
        <f>W151/R151*100</f>
        <v>115.04424778761062</v>
      </c>
      <c r="AL151" s="171">
        <f>X151/W151*100</f>
        <v>111.53846153846155</v>
      </c>
      <c r="AM151" s="171">
        <f>Y151/X151*100</f>
        <v>113.79310344827587</v>
      </c>
      <c r="AN151" s="187" t="e">
        <f ca="1">__xlfn.ISFORMULA(#REF!)</f>
        <v>#NAME?</v>
      </c>
      <c r="AO151" s="199" t="e">
        <f ca="1">__xlfn.ISFORMULA(#REF!)</f>
        <v>#NAME?</v>
      </c>
      <c r="AP151" s="193" t="e">
        <f t="shared" ca="1" si="70"/>
        <v>#NAME?</v>
      </c>
      <c r="AQ151" s="200">
        <v>106865.01</v>
      </c>
      <c r="AR151" s="204">
        <f t="shared" si="81"/>
        <v>115.04424778761062</v>
      </c>
      <c r="AS151" s="204">
        <f t="shared" si="74"/>
        <v>100</v>
      </c>
      <c r="AT151" s="204">
        <f>W151/R151*100</f>
        <v>115.04424778761062</v>
      </c>
      <c r="AU151" s="204">
        <f t="shared" si="76"/>
        <v>82.203853846153834</v>
      </c>
      <c r="AV151" s="204">
        <f>AQ151/R151*100</f>
        <v>94.57080530973451</v>
      </c>
    </row>
    <row r="152" spans="1:48" ht="12" customHeight="1">
      <c r="A152" s="68"/>
      <c r="B152" s="69"/>
      <c r="C152" s="69"/>
      <c r="D152" s="69"/>
      <c r="E152" s="69"/>
      <c r="F152" s="69"/>
      <c r="G152" s="69"/>
      <c r="H152" s="70"/>
      <c r="I152" s="141"/>
      <c r="J152" s="142"/>
      <c r="K152" s="7"/>
      <c r="L152" s="85"/>
      <c r="M152" s="85"/>
      <c r="N152" s="86"/>
      <c r="O152" s="86"/>
      <c r="P152" s="87"/>
      <c r="Q152" s="87"/>
      <c r="R152" s="168"/>
      <c r="S152" s="161"/>
      <c r="T152" s="161"/>
      <c r="U152" s="90" t="e">
        <f t="shared" ca="1" si="92"/>
        <v>#NAME?</v>
      </c>
      <c r="V152" s="89"/>
      <c r="W152" s="89"/>
      <c r="X152" s="162"/>
      <c r="Y152" s="181"/>
      <c r="Z152" s="181"/>
      <c r="AA152" s="181"/>
      <c r="AB152" s="181"/>
      <c r="AC152" s="182"/>
      <c r="AD152" s="182"/>
      <c r="AE152" s="178"/>
      <c r="AF152" s="178"/>
      <c r="AG152" s="178"/>
      <c r="AH152" s="178"/>
      <c r="AI152" s="181"/>
      <c r="AJ152" s="181"/>
      <c r="AK152" s="171"/>
      <c r="AL152" s="171"/>
      <c r="AM152" s="171"/>
      <c r="AN152" s="187" t="e">
        <f ca="1">__xlfn.ISFORMULA(#REF!)</f>
        <v>#NAME?</v>
      </c>
      <c r="AO152" s="199" t="e">
        <f ca="1">__xlfn.ISFORMULA(#REF!)</f>
        <v>#NAME?</v>
      </c>
      <c r="AP152" s="193" t="e">
        <f t="shared" ca="1" si="70"/>
        <v>#NAME?</v>
      </c>
      <c r="AQ152" s="200"/>
      <c r="AR152" s="204"/>
      <c r="AS152" s="204"/>
      <c r="AT152" s="204"/>
      <c r="AU152" s="204"/>
      <c r="AV152" s="204"/>
    </row>
    <row r="153" spans="1:48" ht="12" customHeight="1">
      <c r="A153" s="61"/>
      <c r="B153" s="62"/>
      <c r="C153" s="62"/>
      <c r="D153" s="62"/>
      <c r="E153" s="62"/>
      <c r="F153" s="62"/>
      <c r="G153" s="62"/>
      <c r="H153" s="63">
        <v>653</v>
      </c>
      <c r="I153" s="128"/>
      <c r="J153" s="129"/>
      <c r="K153" s="19" t="s">
        <v>180</v>
      </c>
      <c r="L153" s="112">
        <f t="shared" ref="L153:Q153" si="93">L154+L155</f>
        <v>4944798</v>
      </c>
      <c r="M153" s="112">
        <f t="shared" si="93"/>
        <v>656287.47760302597</v>
      </c>
      <c r="N153" s="113">
        <f t="shared" si="93"/>
        <v>5096717</v>
      </c>
      <c r="O153" s="113">
        <f t="shared" si="93"/>
        <v>676450.59393456765</v>
      </c>
      <c r="P153" s="114">
        <f t="shared" si="93"/>
        <v>1036000</v>
      </c>
      <c r="Q153" s="114">
        <f t="shared" si="93"/>
        <v>640000</v>
      </c>
      <c r="R153" s="167">
        <v>640000</v>
      </c>
      <c r="S153" s="90"/>
      <c r="T153" s="90"/>
      <c r="U153" s="90" t="e">
        <f t="shared" ca="1" si="92"/>
        <v>#NAME?</v>
      </c>
      <c r="V153" s="89">
        <f>V154+V155</f>
        <v>780000</v>
      </c>
      <c r="W153" s="89">
        <f>W154+W155</f>
        <v>780000</v>
      </c>
      <c r="X153" s="88">
        <f>X154+X155</f>
        <v>990000</v>
      </c>
      <c r="Y153" s="171">
        <f>Y154+Y155</f>
        <v>800000</v>
      </c>
      <c r="Z153" s="171"/>
      <c r="AA153" s="171"/>
      <c r="AB153" s="171"/>
      <c r="AC153" s="172">
        <f>AC154+AC155</f>
        <v>1040000</v>
      </c>
      <c r="AD153" s="172">
        <f>AD154+AD155</f>
        <v>1040000</v>
      </c>
      <c r="AE153" s="178">
        <f>O153/M153*100</f>
        <v>103.07229941445537</v>
      </c>
      <c r="AF153" s="178">
        <f t="shared" ref="AF153:AG155" si="94">P153/O153*100</f>
        <v>153.15235277924987</v>
      </c>
      <c r="AG153" s="178">
        <f t="shared" si="94"/>
        <v>61.776061776061773</v>
      </c>
      <c r="AH153" s="178">
        <f>AC153/Q153*100</f>
        <v>162.5</v>
      </c>
      <c r="AI153" s="171"/>
      <c r="AJ153" s="171">
        <v>800000</v>
      </c>
      <c r="AK153" s="171">
        <f>W153/R153*100</f>
        <v>121.875</v>
      </c>
      <c r="AL153" s="171">
        <f t="shared" ref="AL153:AM155" si="95">X153/W153*100</f>
        <v>126.92307692307692</v>
      </c>
      <c r="AM153" s="171">
        <f t="shared" si="95"/>
        <v>80.808080808080803</v>
      </c>
      <c r="AN153" s="187" t="e">
        <f ca="1">__xlfn.ISFORMULA(#REF!)</f>
        <v>#NAME?</v>
      </c>
      <c r="AO153" s="199" t="e">
        <f ca="1">__xlfn.ISFORMULA(#REF!)</f>
        <v>#NAME?</v>
      </c>
      <c r="AP153" s="193" t="e">
        <f t="shared" ca="1" si="70"/>
        <v>#NAME?</v>
      </c>
      <c r="AQ153" s="200">
        <f>AQ154+AQ155</f>
        <v>438320.14</v>
      </c>
      <c r="AR153" s="204">
        <f>V153/R153*100</f>
        <v>121.875</v>
      </c>
      <c r="AS153" s="204">
        <f t="shared" si="74"/>
        <v>100</v>
      </c>
      <c r="AT153" s="204">
        <f>W153/R153*100</f>
        <v>121.875</v>
      </c>
      <c r="AU153" s="204">
        <f t="shared" si="76"/>
        <v>56.194889743589748</v>
      </c>
      <c r="AV153" s="204">
        <f>AQ153/R153*100</f>
        <v>68.487521874999999</v>
      </c>
    </row>
    <row r="154" spans="1:48" ht="12" customHeight="1">
      <c r="A154" s="52"/>
      <c r="B154" s="53"/>
      <c r="C154" s="53"/>
      <c r="D154" s="53"/>
      <c r="E154" s="53"/>
      <c r="F154" s="53"/>
      <c r="G154" s="53"/>
      <c r="H154" s="64">
        <v>6531</v>
      </c>
      <c r="I154" s="117"/>
      <c r="J154" s="118"/>
      <c r="K154" s="18" t="s">
        <v>181</v>
      </c>
      <c r="L154" s="130">
        <v>3475242</v>
      </c>
      <c r="M154" s="130">
        <f>3475242/7.5345</f>
        <v>461243.87816046184</v>
      </c>
      <c r="N154" s="131">
        <v>3514127</v>
      </c>
      <c r="O154" s="131">
        <f>N154/7.5345</f>
        <v>466404.80456566456</v>
      </c>
      <c r="P154" s="132">
        <v>796000</v>
      </c>
      <c r="Q154" s="163">
        <v>400000</v>
      </c>
      <c r="R154" s="164">
        <v>400000</v>
      </c>
      <c r="S154" s="165"/>
      <c r="T154" s="165"/>
      <c r="U154" s="90" t="e">
        <f t="shared" ca="1" si="92"/>
        <v>#NAME?</v>
      </c>
      <c r="V154" s="89">
        <v>500000</v>
      </c>
      <c r="W154" s="89">
        <v>500000</v>
      </c>
      <c r="X154" s="159">
        <v>650000</v>
      </c>
      <c r="Y154" s="183">
        <v>460000</v>
      </c>
      <c r="Z154" s="183"/>
      <c r="AA154" s="183"/>
      <c r="AB154" s="183"/>
      <c r="AC154" s="178">
        <v>800000</v>
      </c>
      <c r="AD154" s="178">
        <v>800000</v>
      </c>
      <c r="AE154" s="178">
        <f>O154/M154*100</f>
        <v>101.11891488420086</v>
      </c>
      <c r="AF154" s="178">
        <f t="shared" si="94"/>
        <v>170.66719557944265</v>
      </c>
      <c r="AG154" s="178">
        <f t="shared" si="94"/>
        <v>50.251256281407031</v>
      </c>
      <c r="AH154" s="178">
        <f>AC154/Q154*100</f>
        <v>200</v>
      </c>
      <c r="AI154" s="183"/>
      <c r="AJ154" s="183">
        <v>460000</v>
      </c>
      <c r="AK154" s="171">
        <f>W154/R154*100</f>
        <v>125</v>
      </c>
      <c r="AL154" s="171">
        <f t="shared" si="95"/>
        <v>130</v>
      </c>
      <c r="AM154" s="171">
        <f t="shared" si="95"/>
        <v>70.769230769230774</v>
      </c>
      <c r="AN154" s="187" t="e">
        <f ca="1">__xlfn.ISFORMULA(#REF!)</f>
        <v>#NAME?</v>
      </c>
      <c r="AO154" s="199" t="e">
        <f ca="1">__xlfn.ISFORMULA(#REF!)</f>
        <v>#NAME?</v>
      </c>
      <c r="AP154" s="193" t="e">
        <f t="shared" ca="1" si="70"/>
        <v>#NAME?</v>
      </c>
      <c r="AQ154" s="200">
        <v>183488.07</v>
      </c>
      <c r="AR154" s="204">
        <f>V154/R154*100</f>
        <v>125</v>
      </c>
      <c r="AS154" s="204">
        <f t="shared" si="74"/>
        <v>100</v>
      </c>
      <c r="AT154" s="204">
        <f>W154/R154*100</f>
        <v>125</v>
      </c>
      <c r="AU154" s="204">
        <f t="shared" si="76"/>
        <v>36.697614000000002</v>
      </c>
      <c r="AV154" s="204">
        <f>AQ154/R154*100</f>
        <v>45.872017499999998</v>
      </c>
    </row>
    <row r="155" spans="1:48" ht="12" customHeight="1">
      <c r="A155" s="52"/>
      <c r="B155" s="53"/>
      <c r="C155" s="53"/>
      <c r="D155" s="53"/>
      <c r="E155" s="53"/>
      <c r="F155" s="53"/>
      <c r="G155" s="53"/>
      <c r="H155" s="64">
        <v>6532</v>
      </c>
      <c r="I155" s="117"/>
      <c r="J155" s="118"/>
      <c r="K155" s="18" t="s">
        <v>182</v>
      </c>
      <c r="L155" s="130">
        <v>1469556</v>
      </c>
      <c r="M155" s="130">
        <f>1469556/7.5345</f>
        <v>195043.59944256418</v>
      </c>
      <c r="N155" s="131">
        <v>1582590</v>
      </c>
      <c r="O155" s="131">
        <f>N155/7.5345</f>
        <v>210045.78936890303</v>
      </c>
      <c r="P155" s="132">
        <v>240000</v>
      </c>
      <c r="Q155" s="132">
        <v>240000</v>
      </c>
      <c r="R155" s="164">
        <v>240000</v>
      </c>
      <c r="S155" s="165"/>
      <c r="T155" s="165"/>
      <c r="U155" s="90" t="e">
        <f t="shared" ca="1" si="92"/>
        <v>#NAME?</v>
      </c>
      <c r="V155" s="89">
        <v>280000</v>
      </c>
      <c r="W155" s="89">
        <v>280000</v>
      </c>
      <c r="X155" s="159">
        <v>340000</v>
      </c>
      <c r="Y155" s="183">
        <v>340000</v>
      </c>
      <c r="Z155" s="183"/>
      <c r="AA155" s="183"/>
      <c r="AB155" s="183"/>
      <c r="AC155" s="178">
        <v>240000</v>
      </c>
      <c r="AD155" s="178">
        <v>240000</v>
      </c>
      <c r="AE155" s="178">
        <f>O155/M155*100</f>
        <v>107.69171096576109</v>
      </c>
      <c r="AF155" s="178">
        <f t="shared" si="94"/>
        <v>114.26080033363033</v>
      </c>
      <c r="AG155" s="178">
        <f t="shared" si="94"/>
        <v>100</v>
      </c>
      <c r="AH155" s="178">
        <f>AC155/Q155*100</f>
        <v>100</v>
      </c>
      <c r="AI155" s="183"/>
      <c r="AJ155" s="183">
        <v>340000</v>
      </c>
      <c r="AK155" s="171">
        <f>W155/R155*100</f>
        <v>116.66666666666667</v>
      </c>
      <c r="AL155" s="171">
        <f t="shared" si="95"/>
        <v>121.42857142857142</v>
      </c>
      <c r="AM155" s="171">
        <f t="shared" si="95"/>
        <v>100</v>
      </c>
      <c r="AN155" s="187" t="e">
        <f ca="1">__xlfn.ISFORMULA(#REF!)</f>
        <v>#NAME?</v>
      </c>
      <c r="AO155" s="199" t="e">
        <f ca="1">__xlfn.ISFORMULA(#REF!)</f>
        <v>#NAME?</v>
      </c>
      <c r="AP155" s="193" t="e">
        <f t="shared" ca="1" si="70"/>
        <v>#NAME?</v>
      </c>
      <c r="AQ155" s="200">
        <v>254832.07</v>
      </c>
      <c r="AR155" s="204">
        <f>V155/R155*100</f>
        <v>116.66666666666667</v>
      </c>
      <c r="AS155" s="204">
        <f t="shared" si="74"/>
        <v>100</v>
      </c>
      <c r="AT155" s="204">
        <f>W155/R155*100</f>
        <v>116.66666666666667</v>
      </c>
      <c r="AU155" s="204">
        <f t="shared" si="76"/>
        <v>91.011453571428575</v>
      </c>
      <c r="AV155" s="204">
        <f>AQ155/R155*100</f>
        <v>106.18002916666667</v>
      </c>
    </row>
    <row r="156" spans="1:48" ht="12" customHeight="1">
      <c r="A156" s="52"/>
      <c r="B156" s="53"/>
      <c r="C156" s="53"/>
      <c r="D156" s="53"/>
      <c r="E156" s="53"/>
      <c r="F156" s="53"/>
      <c r="G156" s="53"/>
      <c r="H156" s="64"/>
      <c r="I156" s="117"/>
      <c r="J156" s="118"/>
      <c r="K156" s="18"/>
      <c r="L156" s="130"/>
      <c r="M156" s="130"/>
      <c r="N156" s="131"/>
      <c r="O156" s="131"/>
      <c r="P156" s="132"/>
      <c r="Q156" s="132"/>
      <c r="R156" s="164"/>
      <c r="S156" s="165"/>
      <c r="T156" s="165"/>
      <c r="U156" s="90" t="e">
        <f t="shared" ca="1" si="92"/>
        <v>#NAME?</v>
      </c>
      <c r="V156" s="89"/>
      <c r="W156" s="89"/>
      <c r="X156" s="159"/>
      <c r="Y156" s="183"/>
      <c r="Z156" s="183"/>
      <c r="AA156" s="183"/>
      <c r="AB156" s="183"/>
      <c r="AC156" s="178"/>
      <c r="AD156" s="178"/>
      <c r="AE156" s="178"/>
      <c r="AF156" s="178"/>
      <c r="AG156" s="178"/>
      <c r="AH156" s="178"/>
      <c r="AI156" s="183"/>
      <c r="AJ156" s="183"/>
      <c r="AK156" s="171"/>
      <c r="AL156" s="171"/>
      <c r="AM156" s="171"/>
      <c r="AN156" s="187" t="e">
        <f ca="1">__xlfn.ISFORMULA(#REF!)</f>
        <v>#NAME?</v>
      </c>
      <c r="AO156" s="199" t="e">
        <f ca="1">__xlfn.ISFORMULA(#REF!)</f>
        <v>#NAME?</v>
      </c>
      <c r="AP156" s="193" t="e">
        <f t="shared" ca="1" si="70"/>
        <v>#NAME?</v>
      </c>
      <c r="AQ156" s="200"/>
      <c r="AR156" s="204"/>
      <c r="AS156" s="204"/>
      <c r="AT156" s="204"/>
      <c r="AU156" s="204"/>
      <c r="AV156" s="204"/>
    </row>
    <row r="157" spans="1:48" ht="12" customHeight="1">
      <c r="A157" s="58"/>
      <c r="B157" s="59"/>
      <c r="C157" s="59"/>
      <c r="D157" s="59"/>
      <c r="E157" s="59"/>
      <c r="F157" s="59"/>
      <c r="G157" s="59"/>
      <c r="H157" s="60">
        <v>66</v>
      </c>
      <c r="I157" s="125"/>
      <c r="J157" s="126"/>
      <c r="K157" s="127" t="s">
        <v>183</v>
      </c>
      <c r="L157" s="112">
        <f t="shared" ref="L157:Q157" si="96">L159+L160</f>
        <v>114500</v>
      </c>
      <c r="M157" s="112">
        <f t="shared" si="96"/>
        <v>15196.761563474682</v>
      </c>
      <c r="N157" s="113">
        <f t="shared" si="96"/>
        <v>194250</v>
      </c>
      <c r="O157" s="113">
        <f t="shared" si="96"/>
        <v>25781.405534541107</v>
      </c>
      <c r="P157" s="114">
        <f t="shared" si="96"/>
        <v>15300</v>
      </c>
      <c r="Q157" s="114">
        <f t="shared" si="96"/>
        <v>0</v>
      </c>
      <c r="R157" s="167">
        <v>0</v>
      </c>
      <c r="S157" s="90"/>
      <c r="T157" s="90"/>
      <c r="U157" s="90" t="e">
        <f t="shared" ca="1" si="92"/>
        <v>#NAME?</v>
      </c>
      <c r="V157" s="89">
        <f>V160</f>
        <v>4200</v>
      </c>
      <c r="W157" s="89">
        <f>W160</f>
        <v>4200</v>
      </c>
      <c r="X157" s="88">
        <f>X160</f>
        <v>0</v>
      </c>
      <c r="Y157" s="171">
        <f>Y160</f>
        <v>0</v>
      </c>
      <c r="Z157" s="171"/>
      <c r="AA157" s="171"/>
      <c r="AB157" s="171"/>
      <c r="AC157" s="172">
        <f>AC159+AC160</f>
        <v>15000</v>
      </c>
      <c r="AD157" s="172">
        <f>AD159+AD160</f>
        <v>15000</v>
      </c>
      <c r="AE157" s="178">
        <f>O157/M157*100</f>
        <v>169.65065502183404</v>
      </c>
      <c r="AF157" s="178">
        <f>P157/O157*100</f>
        <v>59.34509652509653</v>
      </c>
      <c r="AG157" s="178">
        <f>Q157/P157*100</f>
        <v>0</v>
      </c>
      <c r="AH157" s="178"/>
      <c r="AI157" s="171"/>
      <c r="AJ157" s="171">
        <v>0</v>
      </c>
      <c r="AK157" s="171"/>
      <c r="AL157" s="171">
        <f>X157/W157*100</f>
        <v>0</v>
      </c>
      <c r="AM157" s="171"/>
      <c r="AN157" s="187" t="e">
        <f ca="1">__xlfn.ISFORMULA(#REF!)</f>
        <v>#NAME?</v>
      </c>
      <c r="AO157" s="199" t="e">
        <f ca="1">__xlfn.ISFORMULA(#REF!)</f>
        <v>#NAME?</v>
      </c>
      <c r="AP157" s="193" t="e">
        <f t="shared" ca="1" si="70"/>
        <v>#NAME?</v>
      </c>
      <c r="AQ157" s="200">
        <f>AQ160</f>
        <v>4337.84</v>
      </c>
      <c r="AR157" s="204"/>
      <c r="AS157" s="204">
        <f t="shared" si="74"/>
        <v>100</v>
      </c>
      <c r="AT157" s="204"/>
      <c r="AU157" s="204">
        <f t="shared" si="76"/>
        <v>103.28190476190477</v>
      </c>
      <c r="AV157" s="204"/>
    </row>
    <row r="158" spans="1:48" ht="12" customHeight="1">
      <c r="A158" s="225"/>
      <c r="B158" s="24"/>
      <c r="C158" s="24"/>
      <c r="D158" s="24"/>
      <c r="E158" s="24"/>
      <c r="F158" s="24"/>
      <c r="G158" s="24"/>
      <c r="H158" s="226"/>
      <c r="I158" s="230"/>
      <c r="J158" s="231"/>
      <c r="K158" s="2"/>
      <c r="L158" s="112"/>
      <c r="M158" s="112"/>
      <c r="N158" s="113"/>
      <c r="O158" s="113"/>
      <c r="P158" s="114"/>
      <c r="Q158" s="114"/>
      <c r="R158" s="167"/>
      <c r="S158" s="90"/>
      <c r="T158" s="90"/>
      <c r="U158" s="90" t="e">
        <f t="shared" ca="1" si="92"/>
        <v>#NAME?</v>
      </c>
      <c r="V158" s="89"/>
      <c r="W158" s="89"/>
      <c r="X158" s="88"/>
      <c r="Y158" s="171"/>
      <c r="Z158" s="171"/>
      <c r="AA158" s="171"/>
      <c r="AB158" s="171"/>
      <c r="AC158" s="172"/>
      <c r="AD158" s="172"/>
      <c r="AE158" s="178"/>
      <c r="AF158" s="178"/>
      <c r="AG158" s="178"/>
      <c r="AH158" s="178"/>
      <c r="AI158" s="171"/>
      <c r="AJ158" s="171"/>
      <c r="AK158" s="171"/>
      <c r="AL158" s="171"/>
      <c r="AM158" s="171"/>
      <c r="AN158" s="187" t="e">
        <f ca="1">__xlfn.ISFORMULA(#REF!)</f>
        <v>#NAME?</v>
      </c>
      <c r="AO158" s="199" t="e">
        <f ca="1">__xlfn.ISFORMULA(#REF!)</f>
        <v>#NAME?</v>
      </c>
      <c r="AP158" s="193" t="e">
        <f t="shared" ca="1" si="70"/>
        <v>#NAME?</v>
      </c>
      <c r="AQ158" s="200"/>
      <c r="AR158" s="204"/>
      <c r="AS158" s="204"/>
      <c r="AT158" s="204"/>
      <c r="AU158" s="204"/>
      <c r="AV158" s="204"/>
    </row>
    <row r="159" spans="1:48" ht="12" customHeight="1">
      <c r="A159" s="52"/>
      <c r="B159" s="53"/>
      <c r="C159" s="53"/>
      <c r="D159" s="53"/>
      <c r="E159" s="53"/>
      <c r="F159" s="53"/>
      <c r="G159" s="53"/>
      <c r="H159" s="64">
        <v>6614</v>
      </c>
      <c r="I159" s="117"/>
      <c r="J159" s="118"/>
      <c r="K159" s="18" t="s">
        <v>184</v>
      </c>
      <c r="L159" s="119"/>
      <c r="M159" s="119"/>
      <c r="N159" s="120"/>
      <c r="O159" s="120"/>
      <c r="P159" s="121"/>
      <c r="Q159" s="121"/>
      <c r="R159" s="220"/>
      <c r="S159" s="158"/>
      <c r="T159" s="158"/>
      <c r="U159" s="90" t="e">
        <f t="shared" ca="1" si="92"/>
        <v>#NAME?</v>
      </c>
      <c r="V159" s="89"/>
      <c r="W159" s="89"/>
      <c r="X159" s="159"/>
      <c r="Y159" s="179"/>
      <c r="Z159" s="179"/>
      <c r="AA159" s="179"/>
      <c r="AB159" s="179"/>
      <c r="AC159" s="180"/>
      <c r="AD159" s="180"/>
      <c r="AE159" s="178"/>
      <c r="AF159" s="178"/>
      <c r="AG159" s="178"/>
      <c r="AH159" s="178"/>
      <c r="AI159" s="179"/>
      <c r="AJ159" s="179"/>
      <c r="AK159" s="171"/>
      <c r="AL159" s="171"/>
      <c r="AM159" s="171"/>
      <c r="AN159" s="187" t="e">
        <f ca="1">__xlfn.ISFORMULA(#REF!)</f>
        <v>#NAME?</v>
      </c>
      <c r="AO159" s="199" t="e">
        <f ca="1">__xlfn.ISFORMULA(#REF!)</f>
        <v>#NAME?</v>
      </c>
      <c r="AP159" s="193" t="e">
        <f t="shared" ca="1" si="70"/>
        <v>#NAME?</v>
      </c>
      <c r="AQ159" s="200"/>
      <c r="AR159" s="204"/>
      <c r="AS159" s="204"/>
      <c r="AT159" s="204"/>
      <c r="AU159" s="204"/>
      <c r="AV159" s="204"/>
    </row>
    <row r="160" spans="1:48" ht="12" customHeight="1">
      <c r="A160" s="61"/>
      <c r="B160" s="62"/>
      <c r="C160" s="62"/>
      <c r="D160" s="62"/>
      <c r="E160" s="62"/>
      <c r="F160" s="62"/>
      <c r="G160" s="62"/>
      <c r="H160" s="63">
        <v>663</v>
      </c>
      <c r="I160" s="128"/>
      <c r="J160" s="129"/>
      <c r="K160" s="19" t="s">
        <v>185</v>
      </c>
      <c r="L160" s="112">
        <f t="shared" ref="L160:Q160" si="97">L161+L162</f>
        <v>114500</v>
      </c>
      <c r="M160" s="112">
        <f t="shared" si="97"/>
        <v>15196.761563474682</v>
      </c>
      <c r="N160" s="113">
        <f t="shared" si="97"/>
        <v>194250</v>
      </c>
      <c r="O160" s="113">
        <f t="shared" si="97"/>
        <v>25781.405534541107</v>
      </c>
      <c r="P160" s="114">
        <f t="shared" si="97"/>
        <v>15300</v>
      </c>
      <c r="Q160" s="114">
        <f t="shared" si="97"/>
        <v>0</v>
      </c>
      <c r="R160" s="167">
        <v>0</v>
      </c>
      <c r="S160" s="90"/>
      <c r="T160" s="90"/>
      <c r="U160" s="90" t="e">
        <f t="shared" ca="1" si="92"/>
        <v>#NAME?</v>
      </c>
      <c r="V160" s="89">
        <f>V161+V162</f>
        <v>4200</v>
      </c>
      <c r="W160" s="89">
        <f>W161+W162</f>
        <v>4200</v>
      </c>
      <c r="X160" s="88">
        <f>X161+X162</f>
        <v>0</v>
      </c>
      <c r="Y160" s="171">
        <f>Y161+Y162</f>
        <v>0</v>
      </c>
      <c r="Z160" s="171"/>
      <c r="AA160" s="171"/>
      <c r="AB160" s="171"/>
      <c r="AC160" s="172">
        <f>AC161+AC162</f>
        <v>15000</v>
      </c>
      <c r="AD160" s="172">
        <f>AD161+AD162</f>
        <v>15000</v>
      </c>
      <c r="AE160" s="178">
        <f>O160/M160*100</f>
        <v>169.65065502183404</v>
      </c>
      <c r="AF160" s="178">
        <f>P160/O160*100</f>
        <v>59.34509652509653</v>
      </c>
      <c r="AG160" s="178">
        <f>Q160/P160*100</f>
        <v>0</v>
      </c>
      <c r="AH160" s="178"/>
      <c r="AI160" s="171"/>
      <c r="AJ160" s="171">
        <v>0</v>
      </c>
      <c r="AK160" s="171"/>
      <c r="AL160" s="171">
        <f>X160/W160*100</f>
        <v>0</v>
      </c>
      <c r="AM160" s="171"/>
      <c r="AN160" s="187" t="e">
        <f ca="1">__xlfn.ISFORMULA(#REF!)</f>
        <v>#NAME?</v>
      </c>
      <c r="AO160" s="199" t="e">
        <f ca="1">__xlfn.ISFORMULA(#REF!)</f>
        <v>#NAME?</v>
      </c>
      <c r="AP160" s="193" t="e">
        <f t="shared" ca="1" si="70"/>
        <v>#NAME?</v>
      </c>
      <c r="AQ160" s="200">
        <f>AQ161+AQ162</f>
        <v>4337.84</v>
      </c>
      <c r="AR160" s="204"/>
      <c r="AS160" s="204">
        <f t="shared" si="74"/>
        <v>100</v>
      </c>
      <c r="AT160" s="204"/>
      <c r="AU160" s="204">
        <f t="shared" si="76"/>
        <v>103.28190476190477</v>
      </c>
      <c r="AV160" s="204"/>
    </row>
    <row r="161" spans="1:48" ht="12" customHeight="1">
      <c r="A161" s="52"/>
      <c r="B161" s="53"/>
      <c r="C161" s="53"/>
      <c r="D161" s="53"/>
      <c r="E161" s="53"/>
      <c r="F161" s="53"/>
      <c r="G161" s="53"/>
      <c r="H161" s="64">
        <v>6631</v>
      </c>
      <c r="I161" s="117"/>
      <c r="J161" s="118"/>
      <c r="K161" s="18" t="s">
        <v>186</v>
      </c>
      <c r="L161" s="130">
        <v>5000</v>
      </c>
      <c r="M161" s="130">
        <f>5000/7.5345</f>
        <v>663.61404207313024</v>
      </c>
      <c r="N161" s="131">
        <v>8000</v>
      </c>
      <c r="O161" s="131">
        <f>N161/7.5345</f>
        <v>1061.7824673170085</v>
      </c>
      <c r="P161" s="132">
        <v>3300</v>
      </c>
      <c r="Q161" s="163">
        <v>0</v>
      </c>
      <c r="R161" s="164">
        <v>0</v>
      </c>
      <c r="S161" s="165"/>
      <c r="T161" s="165"/>
      <c r="U161" s="90" t="e">
        <f t="shared" ca="1" si="92"/>
        <v>#NAME?</v>
      </c>
      <c r="V161" s="89"/>
      <c r="W161" s="89"/>
      <c r="X161" s="159"/>
      <c r="Y161" s="183"/>
      <c r="Z161" s="183"/>
      <c r="AA161" s="183"/>
      <c r="AB161" s="183"/>
      <c r="AC161" s="178">
        <v>3000</v>
      </c>
      <c r="AD161" s="178">
        <v>3000</v>
      </c>
      <c r="AE161" s="178">
        <f>O161/M161*100</f>
        <v>160</v>
      </c>
      <c r="AF161" s="178">
        <f>P161/O161*100</f>
        <v>310.79812499999997</v>
      </c>
      <c r="AG161" s="178">
        <f>Q161/P161*100</f>
        <v>0</v>
      </c>
      <c r="AH161" s="178"/>
      <c r="AI161" s="183"/>
      <c r="AJ161" s="183"/>
      <c r="AK161" s="171"/>
      <c r="AL161" s="171"/>
      <c r="AM161" s="171"/>
      <c r="AN161" s="187" t="e">
        <f ca="1">__xlfn.ISFORMULA(#REF!)</f>
        <v>#NAME?</v>
      </c>
      <c r="AO161" s="199" t="e">
        <f ca="1">__xlfn.ISFORMULA(#REF!)</f>
        <v>#NAME?</v>
      </c>
      <c r="AP161" s="193" t="e">
        <f t="shared" ca="1" si="70"/>
        <v>#NAME?</v>
      </c>
      <c r="AQ161" s="200">
        <v>150</v>
      </c>
      <c r="AR161" s="204"/>
      <c r="AS161" s="204"/>
      <c r="AT161" s="204"/>
      <c r="AU161" s="204"/>
      <c r="AV161" s="204"/>
    </row>
    <row r="162" spans="1:48" ht="12" customHeight="1">
      <c r="A162" s="52"/>
      <c r="B162" s="53"/>
      <c r="C162" s="53"/>
      <c r="D162" s="53"/>
      <c r="E162" s="53"/>
      <c r="F162" s="53"/>
      <c r="G162" s="53"/>
      <c r="H162" s="64">
        <v>6632</v>
      </c>
      <c r="I162" s="117"/>
      <c r="J162" s="118"/>
      <c r="K162" s="18" t="s">
        <v>187</v>
      </c>
      <c r="L162" s="130">
        <v>109500</v>
      </c>
      <c r="M162" s="130">
        <f>109500/7.5345</f>
        <v>14533.147521401552</v>
      </c>
      <c r="N162" s="131">
        <v>186250</v>
      </c>
      <c r="O162" s="131">
        <f>N162/7.5345</f>
        <v>24719.6230672241</v>
      </c>
      <c r="P162" s="132">
        <v>12000</v>
      </c>
      <c r="Q162" s="163">
        <v>0</v>
      </c>
      <c r="R162" s="164">
        <v>0</v>
      </c>
      <c r="S162" s="165"/>
      <c r="T162" s="165"/>
      <c r="U162" s="90" t="e">
        <f t="shared" ca="1" si="92"/>
        <v>#NAME?</v>
      </c>
      <c r="V162" s="89">
        <v>4200</v>
      </c>
      <c r="W162" s="89">
        <v>4200</v>
      </c>
      <c r="X162" s="159"/>
      <c r="Y162" s="183"/>
      <c r="Z162" s="183"/>
      <c r="AA162" s="183"/>
      <c r="AB162" s="183"/>
      <c r="AC162" s="178">
        <v>12000</v>
      </c>
      <c r="AD162" s="178">
        <v>12000</v>
      </c>
      <c r="AE162" s="178">
        <f>O162/M162*100</f>
        <v>170.09132420091325</v>
      </c>
      <c r="AF162" s="178"/>
      <c r="AG162" s="178"/>
      <c r="AH162" s="178"/>
      <c r="AI162" s="183"/>
      <c r="AJ162" s="183"/>
      <c r="AK162" s="171"/>
      <c r="AL162" s="171">
        <f>X162/W162*100</f>
        <v>0</v>
      </c>
      <c r="AM162" s="171"/>
      <c r="AN162" s="187" t="e">
        <f ca="1">__xlfn.ISFORMULA(#REF!)</f>
        <v>#NAME?</v>
      </c>
      <c r="AO162" s="199" t="e">
        <f ca="1">__xlfn.ISFORMULA(#REF!)</f>
        <v>#NAME?</v>
      </c>
      <c r="AP162" s="193" t="e">
        <f t="shared" ca="1" si="70"/>
        <v>#NAME?</v>
      </c>
      <c r="AQ162" s="200">
        <v>4187.84</v>
      </c>
      <c r="AR162" s="204"/>
      <c r="AS162" s="204">
        <f t="shared" si="74"/>
        <v>100</v>
      </c>
      <c r="AT162" s="204"/>
      <c r="AU162" s="204">
        <f t="shared" si="76"/>
        <v>99.7104761904762</v>
      </c>
      <c r="AV162" s="204"/>
    </row>
    <row r="163" spans="1:48" ht="12" customHeight="1">
      <c r="A163" s="52"/>
      <c r="B163" s="53"/>
      <c r="C163" s="53"/>
      <c r="D163" s="53"/>
      <c r="E163" s="53"/>
      <c r="F163" s="53"/>
      <c r="G163" s="53"/>
      <c r="H163" s="64"/>
      <c r="I163" s="117"/>
      <c r="J163" s="118"/>
      <c r="K163" s="18"/>
      <c r="L163" s="130"/>
      <c r="M163" s="130"/>
      <c r="N163" s="131"/>
      <c r="O163" s="131"/>
      <c r="P163" s="132"/>
      <c r="Q163" s="132"/>
      <c r="R163" s="164"/>
      <c r="S163" s="165"/>
      <c r="T163" s="165"/>
      <c r="U163" s="90" t="e">
        <f t="shared" ca="1" si="92"/>
        <v>#NAME?</v>
      </c>
      <c r="V163" s="89"/>
      <c r="W163" s="89"/>
      <c r="X163" s="159"/>
      <c r="Y163" s="183"/>
      <c r="Z163" s="183"/>
      <c r="AA163" s="183"/>
      <c r="AB163" s="183"/>
      <c r="AC163" s="178"/>
      <c r="AD163" s="178"/>
      <c r="AE163" s="178"/>
      <c r="AF163" s="178"/>
      <c r="AG163" s="178"/>
      <c r="AH163" s="178"/>
      <c r="AI163" s="183"/>
      <c r="AJ163" s="183"/>
      <c r="AK163" s="171"/>
      <c r="AL163" s="171"/>
      <c r="AM163" s="171"/>
      <c r="AN163" s="187" t="e">
        <f ca="1">__xlfn.ISFORMULA(#REF!)</f>
        <v>#NAME?</v>
      </c>
      <c r="AO163" s="199" t="e">
        <f ca="1">__xlfn.ISFORMULA(#REF!)</f>
        <v>#NAME?</v>
      </c>
      <c r="AP163" s="193" t="e">
        <f t="shared" ca="1" si="70"/>
        <v>#NAME?</v>
      </c>
      <c r="AQ163" s="200"/>
      <c r="AR163" s="204"/>
      <c r="AS163" s="204"/>
      <c r="AT163" s="204"/>
      <c r="AU163" s="204"/>
      <c r="AV163" s="204"/>
    </row>
    <row r="164" spans="1:48" ht="12" customHeight="1">
      <c r="A164" s="58"/>
      <c r="B164" s="59"/>
      <c r="C164" s="59"/>
      <c r="D164" s="59"/>
      <c r="E164" s="59"/>
      <c r="F164" s="59"/>
      <c r="G164" s="59"/>
      <c r="H164" s="60">
        <v>68</v>
      </c>
      <c r="I164" s="125"/>
      <c r="J164" s="126"/>
      <c r="K164" s="127" t="s">
        <v>188</v>
      </c>
      <c r="L164" s="112">
        <f t="shared" ref="L164:Q164" si="98">L166+L170</f>
        <v>384701</v>
      </c>
      <c r="M164" s="112">
        <f t="shared" si="98"/>
        <v>51058.597119915059</v>
      </c>
      <c r="N164" s="113">
        <f t="shared" si="98"/>
        <v>302430</v>
      </c>
      <c r="O164" s="113">
        <f t="shared" si="98"/>
        <v>40139.358948835354</v>
      </c>
      <c r="P164" s="114">
        <f t="shared" si="98"/>
        <v>143300</v>
      </c>
      <c r="Q164" s="114">
        <f t="shared" si="98"/>
        <v>52000</v>
      </c>
      <c r="R164" s="167">
        <v>52000</v>
      </c>
      <c r="S164" s="90"/>
      <c r="T164" s="90"/>
      <c r="U164" s="90" t="e">
        <f t="shared" ca="1" si="92"/>
        <v>#NAME?</v>
      </c>
      <c r="V164" s="89">
        <f>V166+V170</f>
        <v>65000</v>
      </c>
      <c r="W164" s="89">
        <f>W166+W170</f>
        <v>65000</v>
      </c>
      <c r="X164" s="88">
        <f>X166+X170</f>
        <v>65000</v>
      </c>
      <c r="Y164" s="171">
        <f>Y166+Y170</f>
        <v>70000</v>
      </c>
      <c r="Z164" s="171"/>
      <c r="AA164" s="171"/>
      <c r="AB164" s="171"/>
      <c r="AC164" s="172">
        <f>AC166+AC170</f>
        <v>65000</v>
      </c>
      <c r="AD164" s="172">
        <f>AD166+AD170</f>
        <v>65000</v>
      </c>
      <c r="AE164" s="178">
        <f>O164/M164*100</f>
        <v>78.614300456718325</v>
      </c>
      <c r="AF164" s="178">
        <f>P164/O164*100</f>
        <v>357.00619978176775</v>
      </c>
      <c r="AG164" s="178">
        <f>Q164/P164*100</f>
        <v>36.287508722958826</v>
      </c>
      <c r="AH164" s="178">
        <f>AC164/Q164*100</f>
        <v>125</v>
      </c>
      <c r="AI164" s="171"/>
      <c r="AJ164" s="171">
        <v>70000</v>
      </c>
      <c r="AK164" s="171">
        <f>W164/R164*100</f>
        <v>125</v>
      </c>
      <c r="AL164" s="171">
        <f>X164/W164*100</f>
        <v>100</v>
      </c>
      <c r="AM164" s="171">
        <f>Y164/X164*100</f>
        <v>107.69230769230769</v>
      </c>
      <c r="AN164" s="187" t="e">
        <f ca="1">__xlfn.ISFORMULA(#REF!)</f>
        <v>#NAME?</v>
      </c>
      <c r="AO164" s="199" t="e">
        <f ca="1">__xlfn.ISFORMULA(#REF!)</f>
        <v>#NAME?</v>
      </c>
      <c r="AP164" s="193" t="e">
        <f t="shared" ca="1" si="70"/>
        <v>#NAME?</v>
      </c>
      <c r="AQ164" s="200">
        <f>AQ166+AQ170</f>
        <v>56189.259999999995</v>
      </c>
      <c r="AR164" s="204">
        <f>V164/R164*100</f>
        <v>125</v>
      </c>
      <c r="AS164" s="204">
        <f t="shared" si="74"/>
        <v>100</v>
      </c>
      <c r="AT164" s="204">
        <f>W164/R164*100</f>
        <v>125</v>
      </c>
      <c r="AU164" s="204">
        <f t="shared" si="76"/>
        <v>86.445015384615374</v>
      </c>
      <c r="AV164" s="204">
        <f>AQ164/R164*100</f>
        <v>108.05626923076923</v>
      </c>
    </row>
    <row r="165" spans="1:48" ht="12" customHeight="1">
      <c r="A165" s="52"/>
      <c r="B165" s="53"/>
      <c r="C165" s="53"/>
      <c r="D165" s="53"/>
      <c r="E165" s="53"/>
      <c r="F165" s="53"/>
      <c r="G165" s="53"/>
      <c r="H165" s="64"/>
      <c r="I165" s="117"/>
      <c r="J165" s="118"/>
      <c r="K165" s="18"/>
      <c r="L165" s="130"/>
      <c r="M165" s="130"/>
      <c r="N165" s="131"/>
      <c r="O165" s="131"/>
      <c r="P165" s="132"/>
      <c r="Q165" s="132"/>
      <c r="R165" s="164"/>
      <c r="S165" s="165"/>
      <c r="T165" s="165"/>
      <c r="U165" s="90" t="e">
        <f t="shared" ca="1" si="92"/>
        <v>#NAME?</v>
      </c>
      <c r="V165" s="89"/>
      <c r="W165" s="89"/>
      <c r="X165" s="159"/>
      <c r="Y165" s="183"/>
      <c r="Z165" s="183"/>
      <c r="AA165" s="183"/>
      <c r="AB165" s="183"/>
      <c r="AC165" s="178"/>
      <c r="AD165" s="178"/>
      <c r="AE165" s="178"/>
      <c r="AF165" s="178"/>
      <c r="AG165" s="178"/>
      <c r="AH165" s="178"/>
      <c r="AI165" s="183"/>
      <c r="AJ165" s="183"/>
      <c r="AK165" s="171"/>
      <c r="AL165" s="171"/>
      <c r="AM165" s="171"/>
      <c r="AN165" s="187" t="e">
        <f ca="1">__xlfn.ISFORMULA(#REF!)</f>
        <v>#NAME?</v>
      </c>
      <c r="AO165" s="199" t="e">
        <f ca="1">__xlfn.ISFORMULA(#REF!)</f>
        <v>#NAME?</v>
      </c>
      <c r="AP165" s="193" t="e">
        <f t="shared" ca="1" si="70"/>
        <v>#NAME?</v>
      </c>
      <c r="AQ165" s="200"/>
      <c r="AR165" s="204"/>
      <c r="AS165" s="204"/>
      <c r="AT165" s="204"/>
      <c r="AU165" s="204"/>
      <c r="AV165" s="204"/>
    </row>
    <row r="166" spans="1:48" ht="12" customHeight="1">
      <c r="A166" s="61"/>
      <c r="B166" s="62"/>
      <c r="C166" s="62"/>
      <c r="D166" s="62"/>
      <c r="E166" s="62"/>
      <c r="F166" s="62"/>
      <c r="G166" s="62"/>
      <c r="H166" s="63">
        <v>681</v>
      </c>
      <c r="I166" s="128"/>
      <c r="J166" s="129"/>
      <c r="K166" s="19" t="s">
        <v>189</v>
      </c>
      <c r="L166" s="112">
        <f t="shared" ref="L166:Q166" si="99">L167</f>
        <v>123625</v>
      </c>
      <c r="M166" s="112">
        <f t="shared" si="99"/>
        <v>16407.857190258146</v>
      </c>
      <c r="N166" s="113">
        <f t="shared" si="99"/>
        <v>114912</v>
      </c>
      <c r="O166" s="113">
        <f t="shared" si="99"/>
        <v>15251.443360541509</v>
      </c>
      <c r="P166" s="114">
        <f t="shared" si="99"/>
        <v>13300</v>
      </c>
      <c r="Q166" s="114">
        <f t="shared" si="99"/>
        <v>17000</v>
      </c>
      <c r="R166" s="167">
        <v>17000</v>
      </c>
      <c r="S166" s="90"/>
      <c r="T166" s="90"/>
      <c r="U166" s="90" t="e">
        <f t="shared" ca="1" si="92"/>
        <v>#NAME?</v>
      </c>
      <c r="V166" s="89">
        <f>V167</f>
        <v>30000</v>
      </c>
      <c r="W166" s="89">
        <f>W167</f>
        <v>30000</v>
      </c>
      <c r="X166" s="88">
        <f>X167</f>
        <v>30000</v>
      </c>
      <c r="Y166" s="171">
        <f>Y167</f>
        <v>35000</v>
      </c>
      <c r="Z166" s="171"/>
      <c r="AA166" s="171"/>
      <c r="AB166" s="171"/>
      <c r="AC166" s="172">
        <f>AC167</f>
        <v>15000</v>
      </c>
      <c r="AD166" s="172">
        <f>AD167</f>
        <v>15000</v>
      </c>
      <c r="AE166" s="178">
        <f>O166/M166*100</f>
        <v>92.952072800808892</v>
      </c>
      <c r="AF166" s="178">
        <f>P166/O166*100</f>
        <v>87.204861111111114</v>
      </c>
      <c r="AG166" s="178">
        <f>Q166/P166*100</f>
        <v>127.81954887218046</v>
      </c>
      <c r="AH166" s="178">
        <f>AC166/Q166*100</f>
        <v>88.235294117647058</v>
      </c>
      <c r="AI166" s="171"/>
      <c r="AJ166" s="171">
        <v>35000</v>
      </c>
      <c r="AK166" s="171">
        <f>W166/R166*100</f>
        <v>176.47058823529412</v>
      </c>
      <c r="AL166" s="171">
        <f>X166/W166*100</f>
        <v>100</v>
      </c>
      <c r="AM166" s="171">
        <f>Y166/X166*100</f>
        <v>116.66666666666667</v>
      </c>
      <c r="AN166" s="187" t="e">
        <f ca="1">__xlfn.ISFORMULA(#REF!)</f>
        <v>#NAME?</v>
      </c>
      <c r="AO166" s="199" t="e">
        <f ca="1">__xlfn.ISFORMULA(#REF!)</f>
        <v>#NAME?</v>
      </c>
      <c r="AP166" s="193" t="e">
        <f t="shared" ca="1" si="70"/>
        <v>#NAME?</v>
      </c>
      <c r="AQ166" s="200">
        <f>AQ167</f>
        <v>17479.560000000001</v>
      </c>
      <c r="AR166" s="204">
        <f>V166/R166*100</f>
        <v>176.47058823529412</v>
      </c>
      <c r="AS166" s="204">
        <f t="shared" si="74"/>
        <v>100</v>
      </c>
      <c r="AT166" s="204">
        <f>W166/R166*100</f>
        <v>176.47058823529412</v>
      </c>
      <c r="AU166" s="204">
        <f t="shared" si="76"/>
        <v>58.265200000000007</v>
      </c>
      <c r="AV166" s="204">
        <f>AQ166/R166*100</f>
        <v>102.8209411764706</v>
      </c>
    </row>
    <row r="167" spans="1:48" ht="12" customHeight="1">
      <c r="A167" s="52"/>
      <c r="B167" s="53"/>
      <c r="C167" s="53"/>
      <c r="D167" s="53"/>
      <c r="E167" s="53"/>
      <c r="F167" s="53"/>
      <c r="G167" s="53"/>
      <c r="H167" s="64">
        <v>6819</v>
      </c>
      <c r="I167" s="117"/>
      <c r="J167" s="118"/>
      <c r="K167" s="18" t="s">
        <v>190</v>
      </c>
      <c r="L167" s="130">
        <v>123625</v>
      </c>
      <c r="M167" s="130">
        <f>123625/7.5345</f>
        <v>16407.857190258146</v>
      </c>
      <c r="N167" s="131">
        <v>114912</v>
      </c>
      <c r="O167" s="131">
        <f>N167/7.5345</f>
        <v>15251.443360541509</v>
      </c>
      <c r="P167" s="132">
        <v>13300</v>
      </c>
      <c r="Q167" s="163">
        <v>17000</v>
      </c>
      <c r="R167" s="164">
        <v>17000</v>
      </c>
      <c r="S167" s="165"/>
      <c r="T167" s="165"/>
      <c r="U167" s="90" t="e">
        <f t="shared" ca="1" si="92"/>
        <v>#NAME?</v>
      </c>
      <c r="V167" s="89">
        <v>30000</v>
      </c>
      <c r="W167" s="89">
        <v>30000</v>
      </c>
      <c r="X167" s="159">
        <v>30000</v>
      </c>
      <c r="Y167" s="183">
        <v>35000</v>
      </c>
      <c r="Z167" s="183"/>
      <c r="AA167" s="183"/>
      <c r="AB167" s="183"/>
      <c r="AC167" s="178">
        <v>15000</v>
      </c>
      <c r="AD167" s="178">
        <v>15000</v>
      </c>
      <c r="AE167" s="178">
        <f>O167/M167*100</f>
        <v>92.952072800808892</v>
      </c>
      <c r="AF167" s="178">
        <f>P167/O167*100</f>
        <v>87.204861111111114</v>
      </c>
      <c r="AG167" s="178">
        <f>Q167/P167*100</f>
        <v>127.81954887218046</v>
      </c>
      <c r="AH167" s="178">
        <f>AC167/Q167*100</f>
        <v>88.235294117647058</v>
      </c>
      <c r="AI167" s="183"/>
      <c r="AJ167" s="183">
        <v>35000</v>
      </c>
      <c r="AK167" s="171">
        <f>W167/R167*100</f>
        <v>176.47058823529412</v>
      </c>
      <c r="AL167" s="171">
        <f>X167/W167*100</f>
        <v>100</v>
      </c>
      <c r="AM167" s="171">
        <f>Y167/X167*100</f>
        <v>116.66666666666667</v>
      </c>
      <c r="AN167" s="187" t="e">
        <f ca="1">__xlfn.ISFORMULA(#REF!)</f>
        <v>#NAME?</v>
      </c>
      <c r="AO167" s="199" t="e">
        <f ca="1">__xlfn.ISFORMULA(#REF!)</f>
        <v>#NAME?</v>
      </c>
      <c r="AP167" s="193" t="e">
        <f t="shared" ca="1" si="70"/>
        <v>#NAME?</v>
      </c>
      <c r="AQ167" s="200">
        <v>17479.560000000001</v>
      </c>
      <c r="AR167" s="204">
        <f>V167/R167*100</f>
        <v>176.47058823529412</v>
      </c>
      <c r="AS167" s="204">
        <f t="shared" si="74"/>
        <v>100</v>
      </c>
      <c r="AT167" s="204">
        <f>W167/R167*100</f>
        <v>176.47058823529412</v>
      </c>
      <c r="AU167" s="204">
        <f t="shared" si="76"/>
        <v>58.265200000000007</v>
      </c>
      <c r="AV167" s="204">
        <f>AQ167/R167*100</f>
        <v>102.8209411764706</v>
      </c>
    </row>
    <row r="168" spans="1:48" ht="12" customHeight="1">
      <c r="A168" s="52"/>
      <c r="B168" s="53"/>
      <c r="C168" s="53"/>
      <c r="D168" s="53"/>
      <c r="E168" s="53"/>
      <c r="F168" s="53"/>
      <c r="G168" s="53"/>
      <c r="H168" s="64"/>
      <c r="I168" s="117"/>
      <c r="J168" s="118"/>
      <c r="K168" s="18"/>
      <c r="L168" s="130"/>
      <c r="M168" s="130"/>
      <c r="N168" s="131"/>
      <c r="O168" s="131"/>
      <c r="P168" s="132"/>
      <c r="Q168" s="132"/>
      <c r="R168" s="164"/>
      <c r="S168" s="165"/>
      <c r="T168" s="165"/>
      <c r="U168" s="90" t="e">
        <f t="shared" ca="1" si="92"/>
        <v>#NAME?</v>
      </c>
      <c r="V168" s="89"/>
      <c r="W168" s="89"/>
      <c r="X168" s="159"/>
      <c r="Y168" s="183"/>
      <c r="Z168" s="183"/>
      <c r="AA168" s="183"/>
      <c r="AB168" s="183"/>
      <c r="AC168" s="178"/>
      <c r="AD168" s="178"/>
      <c r="AE168" s="178"/>
      <c r="AF168" s="178"/>
      <c r="AG168" s="178"/>
      <c r="AH168" s="178"/>
      <c r="AI168" s="183"/>
      <c r="AJ168" s="183"/>
      <c r="AK168" s="171"/>
      <c r="AL168" s="171"/>
      <c r="AM168" s="171"/>
      <c r="AN168" s="187" t="e">
        <f ca="1">__xlfn.ISFORMULA(#REF!)</f>
        <v>#NAME?</v>
      </c>
      <c r="AO168" s="199" t="e">
        <f ca="1">__xlfn.ISFORMULA(#REF!)</f>
        <v>#NAME?</v>
      </c>
      <c r="AP168" s="193" t="e">
        <f t="shared" ca="1" si="70"/>
        <v>#NAME?</v>
      </c>
      <c r="AQ168" s="200"/>
      <c r="AR168" s="204"/>
      <c r="AS168" s="204"/>
      <c r="AT168" s="204"/>
      <c r="AU168" s="204"/>
      <c r="AV168" s="204"/>
    </row>
    <row r="169" spans="1:48" ht="12" customHeight="1">
      <c r="A169" s="47"/>
      <c r="B169" s="42"/>
      <c r="C169" s="42"/>
      <c r="D169" s="42"/>
      <c r="E169" s="42"/>
      <c r="F169" s="42"/>
      <c r="G169" s="42"/>
      <c r="H169" s="38"/>
      <c r="I169" s="73"/>
      <c r="J169" s="91"/>
      <c r="K169" s="84"/>
      <c r="L169" s="85">
        <v>1</v>
      </c>
      <c r="M169" s="85">
        <v>2</v>
      </c>
      <c r="N169" s="86">
        <v>3</v>
      </c>
      <c r="O169" s="86">
        <v>4</v>
      </c>
      <c r="P169" s="87">
        <v>5</v>
      </c>
      <c r="Q169" s="87">
        <v>6</v>
      </c>
      <c r="R169" s="168"/>
      <c r="S169" s="161"/>
      <c r="T169" s="161"/>
      <c r="U169" s="90"/>
      <c r="V169" s="89"/>
      <c r="W169" s="89"/>
      <c r="X169" s="162"/>
      <c r="Y169" s="181"/>
      <c r="Z169" s="181"/>
      <c r="AA169" s="181"/>
      <c r="AB169" s="181"/>
      <c r="AC169" s="182"/>
      <c r="AD169" s="182"/>
      <c r="AE169" s="182"/>
      <c r="AF169" s="182"/>
      <c r="AG169" s="182"/>
      <c r="AH169" s="182"/>
      <c r="AI169" s="181"/>
      <c r="AJ169" s="181"/>
      <c r="AK169" s="171"/>
      <c r="AL169" s="171"/>
      <c r="AM169" s="171"/>
      <c r="AN169" s="187"/>
      <c r="AO169" s="199"/>
      <c r="AP169" s="193"/>
      <c r="AQ169" s="200"/>
      <c r="AR169" s="204"/>
      <c r="AS169" s="204"/>
      <c r="AT169" s="204"/>
      <c r="AU169" s="204"/>
      <c r="AV169" s="204"/>
    </row>
    <row r="170" spans="1:48" ht="12" customHeight="1">
      <c r="A170" s="61"/>
      <c r="B170" s="62"/>
      <c r="C170" s="62"/>
      <c r="D170" s="62"/>
      <c r="E170" s="62"/>
      <c r="F170" s="62"/>
      <c r="G170" s="62"/>
      <c r="H170" s="63">
        <v>683</v>
      </c>
      <c r="I170" s="128"/>
      <c r="J170" s="129"/>
      <c r="K170" s="19" t="s">
        <v>183</v>
      </c>
      <c r="L170" s="112">
        <f t="shared" ref="L170:Q170" si="100">L171</f>
        <v>261076</v>
      </c>
      <c r="M170" s="112">
        <f t="shared" si="100"/>
        <v>34650.739929656913</v>
      </c>
      <c r="N170" s="113">
        <f t="shared" si="100"/>
        <v>187518</v>
      </c>
      <c r="O170" s="113">
        <f t="shared" si="100"/>
        <v>24887.915588293847</v>
      </c>
      <c r="P170" s="114">
        <f t="shared" si="100"/>
        <v>130000</v>
      </c>
      <c r="Q170" s="114">
        <f t="shared" si="100"/>
        <v>35000</v>
      </c>
      <c r="R170" s="167">
        <v>35000</v>
      </c>
      <c r="S170" s="90"/>
      <c r="T170" s="90"/>
      <c r="U170" s="90" t="e">
        <f t="shared" ref="U170:U196" ca="1" si="101">__xlfn.ISFORMULA(S170)</f>
        <v>#NAME?</v>
      </c>
      <c r="V170" s="89">
        <f>V171</f>
        <v>35000</v>
      </c>
      <c r="W170" s="89">
        <f>W171</f>
        <v>35000</v>
      </c>
      <c r="X170" s="88">
        <f>X171</f>
        <v>35000</v>
      </c>
      <c r="Y170" s="171">
        <f>Y171</f>
        <v>35000</v>
      </c>
      <c r="Z170" s="171"/>
      <c r="AA170" s="171"/>
      <c r="AB170" s="171"/>
      <c r="AC170" s="172">
        <f>AC171</f>
        <v>50000</v>
      </c>
      <c r="AD170" s="172">
        <f>AD171</f>
        <v>50000</v>
      </c>
      <c r="AE170" s="178">
        <f>O170/M170*100</f>
        <v>71.825062433927272</v>
      </c>
      <c r="AF170" s="178">
        <f>P170/O170*100</f>
        <v>522.34185518190259</v>
      </c>
      <c r="AG170" s="178">
        <f>Q170/P170*100</f>
        <v>26.923076923076923</v>
      </c>
      <c r="AH170" s="178">
        <f>AC170/Q170*100</f>
        <v>142.85714285714286</v>
      </c>
      <c r="AI170" s="171"/>
      <c r="AJ170" s="171">
        <v>35000</v>
      </c>
      <c r="AK170" s="171">
        <f>W170/R170*100</f>
        <v>100</v>
      </c>
      <c r="AL170" s="171">
        <f>X170/W170*100</f>
        <v>100</v>
      </c>
      <c r="AM170" s="171">
        <f>Y170/X170*100</f>
        <v>100</v>
      </c>
      <c r="AN170" s="187" t="e">
        <f ca="1">__xlfn.ISFORMULA(#REF!)</f>
        <v>#NAME?</v>
      </c>
      <c r="AO170" s="199" t="e">
        <f ca="1">__xlfn.ISFORMULA(#REF!)</f>
        <v>#NAME?</v>
      </c>
      <c r="AP170" s="193" t="e">
        <f t="shared" ref="AP170:AP196" ca="1" si="102">__xlfn.ISFORMULA(X170)</f>
        <v>#NAME?</v>
      </c>
      <c r="AQ170" s="200">
        <f>AQ171</f>
        <v>38709.699999999997</v>
      </c>
      <c r="AR170" s="204">
        <f>V170/R170*100</f>
        <v>100</v>
      </c>
      <c r="AS170" s="204">
        <f t="shared" si="74"/>
        <v>100</v>
      </c>
      <c r="AT170" s="204">
        <f>W170/R170*100</f>
        <v>100</v>
      </c>
      <c r="AU170" s="204">
        <f t="shared" si="76"/>
        <v>110.59914285714285</v>
      </c>
      <c r="AV170" s="204">
        <f>AQ170/R170*100</f>
        <v>110.59914285714285</v>
      </c>
    </row>
    <row r="171" spans="1:48" ht="12" customHeight="1">
      <c r="A171" s="52"/>
      <c r="B171" s="53"/>
      <c r="C171" s="53"/>
      <c r="D171" s="53"/>
      <c r="E171" s="53"/>
      <c r="F171" s="53"/>
      <c r="G171" s="53"/>
      <c r="H171" s="64">
        <v>6831</v>
      </c>
      <c r="I171" s="117"/>
      <c r="J171" s="118"/>
      <c r="K171" s="18" t="s">
        <v>191</v>
      </c>
      <c r="L171" s="130">
        <v>261076</v>
      </c>
      <c r="M171" s="130">
        <f>261076/7.5345</f>
        <v>34650.739929656913</v>
      </c>
      <c r="N171" s="131">
        <v>187518</v>
      </c>
      <c r="O171" s="131">
        <f>N171/7.5345</f>
        <v>24887.915588293847</v>
      </c>
      <c r="P171" s="132">
        <v>130000</v>
      </c>
      <c r="Q171" s="163">
        <v>35000</v>
      </c>
      <c r="R171" s="164">
        <v>35000</v>
      </c>
      <c r="S171" s="165"/>
      <c r="T171" s="165"/>
      <c r="U171" s="90" t="e">
        <f t="shared" ca="1" si="101"/>
        <v>#NAME?</v>
      </c>
      <c r="V171" s="89">
        <v>35000</v>
      </c>
      <c r="W171" s="89">
        <v>35000</v>
      </c>
      <c r="X171" s="159">
        <v>35000</v>
      </c>
      <c r="Y171" s="183">
        <v>35000</v>
      </c>
      <c r="Z171" s="183"/>
      <c r="AA171" s="183"/>
      <c r="AB171" s="183"/>
      <c r="AC171" s="178">
        <v>50000</v>
      </c>
      <c r="AD171" s="178">
        <v>50000</v>
      </c>
      <c r="AE171" s="178">
        <f>O171/M171*100</f>
        <v>71.825062433927272</v>
      </c>
      <c r="AF171" s="178">
        <f>P171/O171*100</f>
        <v>522.34185518190259</v>
      </c>
      <c r="AG171" s="178">
        <f>Q171/P171*100</f>
        <v>26.923076923076923</v>
      </c>
      <c r="AH171" s="178">
        <f>AC171/Q171*100</f>
        <v>142.85714285714286</v>
      </c>
      <c r="AI171" s="183"/>
      <c r="AJ171" s="183">
        <v>35000</v>
      </c>
      <c r="AK171" s="171">
        <f>W171/R171*100</f>
        <v>100</v>
      </c>
      <c r="AL171" s="171">
        <f>X171/W171*100</f>
        <v>100</v>
      </c>
      <c r="AM171" s="171">
        <f>Y171/X171*100</f>
        <v>100</v>
      </c>
      <c r="AN171" s="187" t="e">
        <f ca="1">__xlfn.ISFORMULA(#REF!)</f>
        <v>#NAME?</v>
      </c>
      <c r="AO171" s="199" t="e">
        <f ca="1">__xlfn.ISFORMULA(#REF!)</f>
        <v>#NAME?</v>
      </c>
      <c r="AP171" s="193" t="e">
        <f t="shared" ca="1" si="102"/>
        <v>#NAME?</v>
      </c>
      <c r="AQ171" s="200">
        <v>38709.699999999997</v>
      </c>
      <c r="AR171" s="204">
        <f>V171/R171*100</f>
        <v>100</v>
      </c>
      <c r="AS171" s="204">
        <f t="shared" si="74"/>
        <v>100</v>
      </c>
      <c r="AT171" s="204">
        <f>W171/R171*100</f>
        <v>100</v>
      </c>
      <c r="AU171" s="204">
        <f t="shared" si="76"/>
        <v>110.59914285714285</v>
      </c>
      <c r="AV171" s="204">
        <f>AQ171/R171*100</f>
        <v>110.59914285714285</v>
      </c>
    </row>
    <row r="172" spans="1:48" ht="12" customHeight="1">
      <c r="A172" s="47"/>
      <c r="B172" s="42"/>
      <c r="C172" s="42"/>
      <c r="D172" s="42"/>
      <c r="E172" s="42"/>
      <c r="F172" s="42"/>
      <c r="G172" s="42"/>
      <c r="H172" s="38"/>
      <c r="I172" s="73"/>
      <c r="J172" s="91"/>
      <c r="K172" s="84"/>
      <c r="L172" s="85"/>
      <c r="M172" s="85"/>
      <c r="N172" s="86"/>
      <c r="O172" s="86"/>
      <c r="P172" s="87"/>
      <c r="Q172" s="87"/>
      <c r="R172" s="168"/>
      <c r="S172" s="161"/>
      <c r="T172" s="161"/>
      <c r="U172" s="90" t="e">
        <f t="shared" ca="1" si="101"/>
        <v>#NAME?</v>
      </c>
      <c r="V172" s="89"/>
      <c r="W172" s="89"/>
      <c r="X172" s="162"/>
      <c r="Y172" s="181"/>
      <c r="Z172" s="181"/>
      <c r="AA172" s="181"/>
      <c r="AB172" s="181"/>
      <c r="AC172" s="182"/>
      <c r="AD172" s="182"/>
      <c r="AE172" s="178"/>
      <c r="AF172" s="178"/>
      <c r="AG172" s="178"/>
      <c r="AH172" s="178"/>
      <c r="AI172" s="181"/>
      <c r="AJ172" s="181"/>
      <c r="AK172" s="171"/>
      <c r="AL172" s="171"/>
      <c r="AM172" s="171"/>
      <c r="AN172" s="187" t="e">
        <f ca="1">__xlfn.ISFORMULA(#REF!)</f>
        <v>#NAME?</v>
      </c>
      <c r="AO172" s="199" t="e">
        <f ca="1">__xlfn.ISFORMULA(#REF!)</f>
        <v>#NAME?</v>
      </c>
      <c r="AP172" s="193" t="e">
        <f t="shared" ca="1" si="102"/>
        <v>#NAME?</v>
      </c>
      <c r="AQ172" s="200"/>
      <c r="AR172" s="204"/>
      <c r="AS172" s="204"/>
      <c r="AT172" s="204"/>
      <c r="AU172" s="204"/>
      <c r="AV172" s="204"/>
    </row>
    <row r="173" spans="1:48" ht="12" customHeight="1">
      <c r="A173" s="55"/>
      <c r="B173" s="56"/>
      <c r="C173" s="56"/>
      <c r="D173" s="56"/>
      <c r="E173" s="56"/>
      <c r="F173" s="56"/>
      <c r="G173" s="56"/>
      <c r="H173" s="57">
        <v>7</v>
      </c>
      <c r="I173" s="122"/>
      <c r="J173" s="123"/>
      <c r="K173" s="124" t="s">
        <v>192</v>
      </c>
      <c r="L173" s="112">
        <f t="shared" ref="L173:Q173" si="103">L175+L182</f>
        <v>57946</v>
      </c>
      <c r="M173" s="112">
        <f t="shared" si="103"/>
        <v>7690.7558563939201</v>
      </c>
      <c r="N173" s="113">
        <f t="shared" si="103"/>
        <v>2919</v>
      </c>
      <c r="O173" s="113">
        <f t="shared" si="103"/>
        <v>387.41787776229341</v>
      </c>
      <c r="P173" s="114">
        <f t="shared" si="103"/>
        <v>420530</v>
      </c>
      <c r="Q173" s="114">
        <f t="shared" si="103"/>
        <v>327930</v>
      </c>
      <c r="R173" s="167">
        <v>327930</v>
      </c>
      <c r="S173" s="90"/>
      <c r="T173" s="90"/>
      <c r="U173" s="90" t="e">
        <f t="shared" ca="1" si="101"/>
        <v>#NAME?</v>
      </c>
      <c r="V173" s="89">
        <f>V175+V182</f>
        <v>5130</v>
      </c>
      <c r="W173" s="89">
        <f>W175+W182</f>
        <v>5130</v>
      </c>
      <c r="X173" s="88">
        <f>X175+X182</f>
        <v>200530</v>
      </c>
      <c r="Y173" s="171">
        <f>Y175+Y182</f>
        <v>530</v>
      </c>
      <c r="Z173" s="171"/>
      <c r="AA173" s="171"/>
      <c r="AB173" s="171"/>
      <c r="AC173" s="172">
        <f>AC175+AC182</f>
        <v>100530</v>
      </c>
      <c r="AD173" s="172">
        <f>AD175+AD182</f>
        <v>100530</v>
      </c>
      <c r="AE173" s="178">
        <f>O173/M173*100</f>
        <v>5.0374486590964</v>
      </c>
      <c r="AF173" s="178"/>
      <c r="AG173" s="178"/>
      <c r="AH173" s="178"/>
      <c r="AI173" s="171"/>
      <c r="AJ173" s="171">
        <v>530</v>
      </c>
      <c r="AK173" s="171">
        <f>W173/R173*100</f>
        <v>1.5643582471868995</v>
      </c>
      <c r="AL173" s="171">
        <f>X173/W173*100</f>
        <v>3908.966861598441</v>
      </c>
      <c r="AM173" s="171">
        <f>Y173/X173*100</f>
        <v>0.26429960604398345</v>
      </c>
      <c r="AN173" s="187" t="e">
        <f ca="1">__xlfn.ISFORMULA(#REF!)</f>
        <v>#NAME?</v>
      </c>
      <c r="AO173" s="199" t="e">
        <f ca="1">__xlfn.ISFORMULA(#REF!)</f>
        <v>#NAME?</v>
      </c>
      <c r="AP173" s="193" t="e">
        <f t="shared" ca="1" si="102"/>
        <v>#NAME?</v>
      </c>
      <c r="AQ173" s="200">
        <f>AQ175+AQ182</f>
        <v>4971.54</v>
      </c>
      <c r="AR173" s="204">
        <f>V173/R173*100</f>
        <v>1.5643582471868995</v>
      </c>
      <c r="AS173" s="204">
        <f t="shared" si="74"/>
        <v>100</v>
      </c>
      <c r="AT173" s="204">
        <f>W173/R173*100</f>
        <v>1.5643582471868995</v>
      </c>
      <c r="AU173" s="204">
        <f t="shared" si="76"/>
        <v>96.911111111111111</v>
      </c>
      <c r="AV173" s="204">
        <f>AQ173/R173*100</f>
        <v>1.5160369591071265</v>
      </c>
    </row>
    <row r="174" spans="1:48" ht="12" customHeight="1">
      <c r="A174" s="208"/>
      <c r="B174" s="209"/>
      <c r="C174" s="209"/>
      <c r="D174" s="209"/>
      <c r="E174" s="209"/>
      <c r="F174" s="209"/>
      <c r="G174" s="209"/>
      <c r="H174" s="210"/>
      <c r="I174" s="215"/>
      <c r="J174" s="133"/>
      <c r="K174" s="18"/>
      <c r="L174" s="119"/>
      <c r="M174" s="119"/>
      <c r="N174" s="120"/>
      <c r="O174" s="120"/>
      <c r="P174" s="121"/>
      <c r="Q174" s="121"/>
      <c r="R174" s="220"/>
      <c r="S174" s="158"/>
      <c r="T174" s="158"/>
      <c r="U174" s="90" t="e">
        <f t="shared" ca="1" si="101"/>
        <v>#NAME?</v>
      </c>
      <c r="V174" s="89"/>
      <c r="W174" s="89"/>
      <c r="X174" s="159"/>
      <c r="Y174" s="179"/>
      <c r="Z174" s="179"/>
      <c r="AA174" s="179"/>
      <c r="AB174" s="179"/>
      <c r="AC174" s="180"/>
      <c r="AD174" s="180"/>
      <c r="AE174" s="178"/>
      <c r="AF174" s="178"/>
      <c r="AG174" s="178"/>
      <c r="AH174" s="178"/>
      <c r="AI174" s="179"/>
      <c r="AJ174" s="179"/>
      <c r="AK174" s="171"/>
      <c r="AL174" s="171"/>
      <c r="AM174" s="171"/>
      <c r="AN174" s="187" t="e">
        <f ca="1">__xlfn.ISFORMULA(#REF!)</f>
        <v>#NAME?</v>
      </c>
      <c r="AO174" s="199" t="e">
        <f ca="1">__xlfn.ISFORMULA(#REF!)</f>
        <v>#NAME?</v>
      </c>
      <c r="AP174" s="193" t="e">
        <f t="shared" ca="1" si="102"/>
        <v>#NAME?</v>
      </c>
      <c r="AQ174" s="200"/>
      <c r="AR174" s="204"/>
      <c r="AS174" s="204"/>
      <c r="AT174" s="204"/>
      <c r="AU174" s="204"/>
      <c r="AV174" s="204"/>
    </row>
    <row r="175" spans="1:48" ht="12" customHeight="1">
      <c r="A175" s="58"/>
      <c r="B175" s="59"/>
      <c r="C175" s="59"/>
      <c r="D175" s="59"/>
      <c r="E175" s="59"/>
      <c r="F175" s="59"/>
      <c r="G175" s="59"/>
      <c r="H175" s="60">
        <v>71</v>
      </c>
      <c r="I175" s="125"/>
      <c r="J175" s="126"/>
      <c r="K175" s="127" t="s">
        <v>193</v>
      </c>
      <c r="L175" s="112">
        <f t="shared" ref="L175:Q175" si="104">L177</f>
        <v>2000</v>
      </c>
      <c r="M175" s="112">
        <f t="shared" si="104"/>
        <v>265.44561682925212</v>
      </c>
      <c r="N175" s="113">
        <f t="shared" si="104"/>
        <v>0</v>
      </c>
      <c r="O175" s="113">
        <f t="shared" si="104"/>
        <v>0</v>
      </c>
      <c r="P175" s="114">
        <f t="shared" si="104"/>
        <v>420000</v>
      </c>
      <c r="Q175" s="114">
        <f t="shared" si="104"/>
        <v>327400</v>
      </c>
      <c r="R175" s="167">
        <v>327400</v>
      </c>
      <c r="S175" s="90"/>
      <c r="T175" s="90"/>
      <c r="U175" s="90" t="e">
        <f t="shared" ca="1" si="101"/>
        <v>#NAME?</v>
      </c>
      <c r="V175" s="89">
        <f>V177</f>
        <v>4600</v>
      </c>
      <c r="W175" s="89">
        <f>W177</f>
        <v>4600</v>
      </c>
      <c r="X175" s="88">
        <f>X177</f>
        <v>200000</v>
      </c>
      <c r="Y175" s="171">
        <f>Y177</f>
        <v>0</v>
      </c>
      <c r="Z175" s="171"/>
      <c r="AA175" s="171"/>
      <c r="AB175" s="171"/>
      <c r="AC175" s="172">
        <f>AC177</f>
        <v>100000</v>
      </c>
      <c r="AD175" s="172">
        <f>AD177</f>
        <v>100000</v>
      </c>
      <c r="AE175" s="178">
        <f>O175/M175*100</f>
        <v>0</v>
      </c>
      <c r="AF175" s="178"/>
      <c r="AG175" s="178"/>
      <c r="AH175" s="178"/>
      <c r="AI175" s="171"/>
      <c r="AJ175" s="171">
        <v>0</v>
      </c>
      <c r="AK175" s="171">
        <f>W175/R175*100</f>
        <v>1.4050091631032375</v>
      </c>
      <c r="AL175" s="171">
        <f>X175/W175*100</f>
        <v>4347.826086956522</v>
      </c>
      <c r="AM175" s="171"/>
      <c r="AN175" s="187" t="e">
        <f ca="1">__xlfn.ISFORMULA(#REF!)</f>
        <v>#NAME?</v>
      </c>
      <c r="AO175" s="199" t="e">
        <f ca="1">__xlfn.ISFORMULA(#REF!)</f>
        <v>#NAME?</v>
      </c>
      <c r="AP175" s="193" t="e">
        <f t="shared" ca="1" si="102"/>
        <v>#NAME?</v>
      </c>
      <c r="AQ175" s="200">
        <f>AQ177</f>
        <v>4613.33</v>
      </c>
      <c r="AR175" s="204">
        <f>V175/R175*100</f>
        <v>1.4050091631032375</v>
      </c>
      <c r="AS175" s="204">
        <f>W175/V175*100</f>
        <v>100</v>
      </c>
      <c r="AT175" s="204">
        <f>W175/R175*100</f>
        <v>1.4050091631032375</v>
      </c>
      <c r="AU175" s="204">
        <f>AQ175/W175*100</f>
        <v>100.28978260869566</v>
      </c>
      <c r="AV175" s="204">
        <f>AQ175/R175*100</f>
        <v>1.409080635308491</v>
      </c>
    </row>
    <row r="176" spans="1:48" ht="12" customHeight="1">
      <c r="A176" s="52"/>
      <c r="B176" s="53"/>
      <c r="C176" s="53"/>
      <c r="D176" s="53"/>
      <c r="E176" s="53"/>
      <c r="F176" s="53"/>
      <c r="G176" s="53"/>
      <c r="H176" s="64"/>
      <c r="I176" s="117"/>
      <c r="J176" s="118"/>
      <c r="K176" s="18"/>
      <c r="L176" s="119"/>
      <c r="M176" s="119"/>
      <c r="N176" s="120"/>
      <c r="O176" s="120"/>
      <c r="P176" s="121"/>
      <c r="Q176" s="121"/>
      <c r="R176" s="220"/>
      <c r="S176" s="158"/>
      <c r="T176" s="158"/>
      <c r="U176" s="90" t="e">
        <f t="shared" ca="1" si="101"/>
        <v>#NAME?</v>
      </c>
      <c r="V176" s="89"/>
      <c r="W176" s="89"/>
      <c r="X176" s="159"/>
      <c r="Y176" s="179"/>
      <c r="Z176" s="179"/>
      <c r="AA176" s="179"/>
      <c r="AB176" s="179"/>
      <c r="AC176" s="180"/>
      <c r="AD176" s="180"/>
      <c r="AE176" s="178"/>
      <c r="AF176" s="178"/>
      <c r="AG176" s="178"/>
      <c r="AH176" s="178"/>
      <c r="AI176" s="179"/>
      <c r="AJ176" s="179"/>
      <c r="AK176" s="171"/>
      <c r="AL176" s="171"/>
      <c r="AM176" s="171"/>
      <c r="AN176" s="187" t="e">
        <f ca="1">__xlfn.ISFORMULA(#REF!)</f>
        <v>#NAME?</v>
      </c>
      <c r="AO176" s="199" t="e">
        <f ca="1">__xlfn.ISFORMULA(#REF!)</f>
        <v>#NAME?</v>
      </c>
      <c r="AP176" s="193" t="e">
        <f t="shared" ca="1" si="102"/>
        <v>#NAME?</v>
      </c>
      <c r="AQ176" s="200"/>
      <c r="AR176" s="204"/>
      <c r="AS176" s="204"/>
      <c r="AT176" s="204"/>
      <c r="AU176" s="204"/>
      <c r="AV176" s="204"/>
    </row>
    <row r="177" spans="1:48" ht="12" customHeight="1">
      <c r="A177" s="61"/>
      <c r="B177" s="62"/>
      <c r="C177" s="62"/>
      <c r="D177" s="62"/>
      <c r="E177" s="62"/>
      <c r="F177" s="62"/>
      <c r="G177" s="62"/>
      <c r="H177" s="63">
        <v>711</v>
      </c>
      <c r="I177" s="128"/>
      <c r="J177" s="129"/>
      <c r="K177" s="19" t="s">
        <v>194</v>
      </c>
      <c r="L177" s="112">
        <f t="shared" ref="L177:Q178" si="105">L178</f>
        <v>2000</v>
      </c>
      <c r="M177" s="112">
        <f t="shared" si="105"/>
        <v>265.44561682925212</v>
      </c>
      <c r="N177" s="113">
        <f t="shared" si="105"/>
        <v>0</v>
      </c>
      <c r="O177" s="113">
        <f t="shared" si="105"/>
        <v>0</v>
      </c>
      <c r="P177" s="114">
        <f t="shared" si="105"/>
        <v>420000</v>
      </c>
      <c r="Q177" s="114">
        <f t="shared" si="105"/>
        <v>327400</v>
      </c>
      <c r="R177" s="167">
        <v>327400</v>
      </c>
      <c r="S177" s="90"/>
      <c r="T177" s="90"/>
      <c r="U177" s="90" t="e">
        <f t="shared" ca="1" si="101"/>
        <v>#NAME?</v>
      </c>
      <c r="V177" s="89">
        <f>V178</f>
        <v>4600</v>
      </c>
      <c r="W177" s="89">
        <f>W178</f>
        <v>4600</v>
      </c>
      <c r="X177" s="88">
        <f>X178</f>
        <v>200000</v>
      </c>
      <c r="Y177" s="171">
        <f>Y178</f>
        <v>0</v>
      </c>
      <c r="Z177" s="171"/>
      <c r="AA177" s="171"/>
      <c r="AB177" s="171"/>
      <c r="AC177" s="172">
        <f>AC178</f>
        <v>100000</v>
      </c>
      <c r="AD177" s="172">
        <f>AD178</f>
        <v>100000</v>
      </c>
      <c r="AE177" s="178">
        <f>O177/M177*100</f>
        <v>0</v>
      </c>
      <c r="AF177" s="178"/>
      <c r="AG177" s="178"/>
      <c r="AH177" s="178"/>
      <c r="AI177" s="171"/>
      <c r="AJ177" s="171">
        <v>0</v>
      </c>
      <c r="AK177" s="171">
        <f>W177/R177*100</f>
        <v>1.4050091631032375</v>
      </c>
      <c r="AL177" s="171">
        <f>X177/W177*100</f>
        <v>4347.826086956522</v>
      </c>
      <c r="AM177" s="171"/>
      <c r="AN177" s="187" t="e">
        <f ca="1">__xlfn.ISFORMULA(#REF!)</f>
        <v>#NAME?</v>
      </c>
      <c r="AO177" s="199" t="e">
        <f ca="1">__xlfn.ISFORMULA(#REF!)</f>
        <v>#NAME?</v>
      </c>
      <c r="AP177" s="193" t="e">
        <f t="shared" ca="1" si="102"/>
        <v>#NAME?</v>
      </c>
      <c r="AQ177" s="200">
        <f>AQ178</f>
        <v>4613.33</v>
      </c>
      <c r="AR177" s="204">
        <f>V177/R177*100</f>
        <v>1.4050091631032375</v>
      </c>
      <c r="AS177" s="204">
        <f>W177/V177*100</f>
        <v>100</v>
      </c>
      <c r="AT177" s="204">
        <f>W177/R177*100</f>
        <v>1.4050091631032375</v>
      </c>
      <c r="AU177" s="204">
        <f>AQ177/W177*100</f>
        <v>100.28978260869566</v>
      </c>
      <c r="AV177" s="204">
        <f>AQ177/R177*100</f>
        <v>1.409080635308491</v>
      </c>
    </row>
    <row r="178" spans="1:48" ht="12" customHeight="1">
      <c r="A178" s="52"/>
      <c r="B178" s="53"/>
      <c r="C178" s="53"/>
      <c r="D178" s="53"/>
      <c r="E178" s="53"/>
      <c r="F178" s="53"/>
      <c r="G178" s="53"/>
      <c r="H178" s="64">
        <v>7111</v>
      </c>
      <c r="I178" s="117"/>
      <c r="J178" s="118"/>
      <c r="K178" s="18" t="s">
        <v>195</v>
      </c>
      <c r="L178" s="112">
        <f t="shared" si="105"/>
        <v>2000</v>
      </c>
      <c r="M178" s="112">
        <f t="shared" si="105"/>
        <v>265.44561682925212</v>
      </c>
      <c r="N178" s="113">
        <f t="shared" si="105"/>
        <v>0</v>
      </c>
      <c r="O178" s="113">
        <f t="shared" si="105"/>
        <v>0</v>
      </c>
      <c r="P178" s="114">
        <f t="shared" si="105"/>
        <v>420000</v>
      </c>
      <c r="Q178" s="114">
        <f t="shared" si="105"/>
        <v>327400</v>
      </c>
      <c r="R178" s="167">
        <v>327400</v>
      </c>
      <c r="S178" s="90"/>
      <c r="T178" s="90"/>
      <c r="U178" s="90" t="e">
        <f t="shared" ca="1" si="101"/>
        <v>#NAME?</v>
      </c>
      <c r="V178" s="89">
        <f>V181</f>
        <v>4600</v>
      </c>
      <c r="W178" s="89">
        <f>W181</f>
        <v>4600</v>
      </c>
      <c r="X178" s="88">
        <f>X179+X180+X181</f>
        <v>200000</v>
      </c>
      <c r="Y178" s="171">
        <f>Y181</f>
        <v>0</v>
      </c>
      <c r="Z178" s="171"/>
      <c r="AA178" s="171"/>
      <c r="AB178" s="171"/>
      <c r="AC178" s="172">
        <f>AC179</f>
        <v>100000</v>
      </c>
      <c r="AD178" s="172">
        <f>AD179</f>
        <v>100000</v>
      </c>
      <c r="AE178" s="178">
        <f>O178/M178*100</f>
        <v>0</v>
      </c>
      <c r="AF178" s="178"/>
      <c r="AG178" s="178"/>
      <c r="AH178" s="178"/>
      <c r="AI178" s="171"/>
      <c r="AJ178" s="171">
        <v>0</v>
      </c>
      <c r="AK178" s="171">
        <f>W178/R178*100</f>
        <v>1.4050091631032375</v>
      </c>
      <c r="AL178" s="171">
        <f>X178/W178*100</f>
        <v>4347.826086956522</v>
      </c>
      <c r="AM178" s="171"/>
      <c r="AN178" s="187" t="e">
        <f ca="1">__xlfn.ISFORMULA(#REF!)</f>
        <v>#NAME?</v>
      </c>
      <c r="AO178" s="199" t="e">
        <f ca="1">__xlfn.ISFORMULA(#REF!)</f>
        <v>#NAME?</v>
      </c>
      <c r="AP178" s="193" t="e">
        <f t="shared" ca="1" si="102"/>
        <v>#NAME?</v>
      </c>
      <c r="AQ178" s="200">
        <f>AQ179+AQ180+AQ181</f>
        <v>4613.33</v>
      </c>
      <c r="AR178" s="204">
        <f>V178/R178*100</f>
        <v>1.4050091631032375</v>
      </c>
      <c r="AS178" s="204">
        <f>W178/V178*100</f>
        <v>100</v>
      </c>
      <c r="AT178" s="204">
        <f>W178/R178*100</f>
        <v>1.4050091631032375</v>
      </c>
      <c r="AU178" s="204">
        <f>AQ178/W178*100</f>
        <v>100.28978260869566</v>
      </c>
      <c r="AV178" s="204">
        <f>AQ178/R178*100</f>
        <v>1.409080635308491</v>
      </c>
    </row>
    <row r="179" spans="1:48" ht="12" customHeight="1">
      <c r="A179" s="52"/>
      <c r="B179" s="53"/>
      <c r="C179" s="53"/>
      <c r="D179" s="53"/>
      <c r="E179" s="53"/>
      <c r="F179" s="53"/>
      <c r="G179" s="53"/>
      <c r="H179" s="64">
        <v>71112</v>
      </c>
      <c r="I179" s="117"/>
      <c r="J179" s="118"/>
      <c r="K179" s="18" t="s">
        <v>196</v>
      </c>
      <c r="L179" s="130">
        <v>2000</v>
      </c>
      <c r="M179" s="130">
        <f>2000/7.5345</f>
        <v>265.44561682925212</v>
      </c>
      <c r="N179" s="131">
        <v>0</v>
      </c>
      <c r="O179" s="131">
        <v>0</v>
      </c>
      <c r="P179" s="132">
        <v>420000</v>
      </c>
      <c r="Q179" s="163">
        <v>327400</v>
      </c>
      <c r="R179" s="164">
        <v>327400</v>
      </c>
      <c r="S179" s="165"/>
      <c r="T179" s="165"/>
      <c r="U179" s="90" t="e">
        <f t="shared" ca="1" si="101"/>
        <v>#NAME?</v>
      </c>
      <c r="V179" s="89"/>
      <c r="W179" s="89"/>
      <c r="X179" s="159">
        <v>200000</v>
      </c>
      <c r="Y179" s="183"/>
      <c r="Z179" s="183"/>
      <c r="AA179" s="183"/>
      <c r="AB179" s="183"/>
      <c r="AC179" s="178">
        <v>100000</v>
      </c>
      <c r="AD179" s="178">
        <v>100000</v>
      </c>
      <c r="AE179" s="178">
        <f>O179/M179*100</f>
        <v>0</v>
      </c>
      <c r="AF179" s="178"/>
      <c r="AG179" s="178"/>
      <c r="AH179" s="178"/>
      <c r="AI179" s="183"/>
      <c r="AJ179" s="183"/>
      <c r="AK179" s="171">
        <f>W179/R179*100</f>
        <v>0</v>
      </c>
      <c r="AL179" s="171"/>
      <c r="AM179" s="171"/>
      <c r="AN179" s="187" t="e">
        <f ca="1">__xlfn.ISFORMULA(#REF!)</f>
        <v>#NAME?</v>
      </c>
      <c r="AO179" s="199" t="e">
        <f ca="1">__xlfn.ISFORMULA(#REF!)</f>
        <v>#NAME?</v>
      </c>
      <c r="AP179" s="193" t="e">
        <f t="shared" ca="1" si="102"/>
        <v>#NAME?</v>
      </c>
      <c r="AQ179" s="200"/>
      <c r="AR179" s="204">
        <f>V179/R179*100</f>
        <v>0</v>
      </c>
      <c r="AS179" s="204" t="e">
        <f>W179/V179*100</f>
        <v>#DIV/0!</v>
      </c>
      <c r="AT179" s="204">
        <f>W179/R179*100</f>
        <v>0</v>
      </c>
      <c r="AU179" s="204"/>
      <c r="AV179" s="204">
        <f>AQ179/R179*100</f>
        <v>0</v>
      </c>
    </row>
    <row r="180" spans="1:48" ht="12" customHeight="1">
      <c r="A180" s="52"/>
      <c r="B180" s="53"/>
      <c r="C180" s="53"/>
      <c r="D180" s="53"/>
      <c r="E180" s="53"/>
      <c r="F180" s="53"/>
      <c r="G180" s="53"/>
      <c r="H180" s="64">
        <v>71112</v>
      </c>
      <c r="I180" s="117"/>
      <c r="J180" s="118"/>
      <c r="K180" s="229" t="s">
        <v>197</v>
      </c>
      <c r="L180" s="119"/>
      <c r="M180" s="119"/>
      <c r="N180" s="120"/>
      <c r="O180" s="120"/>
      <c r="P180" s="121"/>
      <c r="Q180" s="121"/>
      <c r="R180" s="220"/>
      <c r="S180" s="158"/>
      <c r="T180" s="158"/>
      <c r="U180" s="90" t="e">
        <f t="shared" ca="1" si="101"/>
        <v>#NAME?</v>
      </c>
      <c r="V180" s="89"/>
      <c r="W180" s="89"/>
      <c r="X180" s="159"/>
      <c r="Y180" s="179"/>
      <c r="Z180" s="179"/>
      <c r="AA180" s="179"/>
      <c r="AB180" s="179"/>
      <c r="AC180" s="180"/>
      <c r="AD180" s="180"/>
      <c r="AE180" s="178"/>
      <c r="AF180" s="178"/>
      <c r="AG180" s="178"/>
      <c r="AH180" s="178"/>
      <c r="AI180" s="179"/>
      <c r="AJ180" s="179"/>
      <c r="AK180" s="171"/>
      <c r="AL180" s="171"/>
      <c r="AM180" s="171"/>
      <c r="AN180" s="187" t="e">
        <f ca="1">__xlfn.ISFORMULA(#REF!)</f>
        <v>#NAME?</v>
      </c>
      <c r="AO180" s="199" t="e">
        <f ca="1">__xlfn.ISFORMULA(#REF!)</f>
        <v>#NAME?</v>
      </c>
      <c r="AP180" s="193" t="e">
        <f t="shared" ca="1" si="102"/>
        <v>#NAME?</v>
      </c>
      <c r="AQ180" s="200"/>
      <c r="AR180" s="204"/>
      <c r="AS180" s="204"/>
      <c r="AT180" s="204"/>
      <c r="AU180" s="204"/>
      <c r="AV180" s="204"/>
    </row>
    <row r="181" spans="1:48" ht="12" customHeight="1">
      <c r="A181" s="52"/>
      <c r="B181" s="53"/>
      <c r="C181" s="53"/>
      <c r="D181" s="53"/>
      <c r="E181" s="53"/>
      <c r="F181" s="53"/>
      <c r="G181" s="53"/>
      <c r="H181" s="64">
        <v>71119</v>
      </c>
      <c r="I181" s="117"/>
      <c r="J181" s="118"/>
      <c r="K181" s="229" t="s">
        <v>198</v>
      </c>
      <c r="L181" s="130"/>
      <c r="M181" s="130"/>
      <c r="N181" s="131"/>
      <c r="O181" s="131"/>
      <c r="P181" s="132"/>
      <c r="Q181" s="132"/>
      <c r="R181" s="164"/>
      <c r="S181" s="165"/>
      <c r="T181" s="165"/>
      <c r="U181" s="90" t="e">
        <f t="shared" ca="1" si="101"/>
        <v>#NAME?</v>
      </c>
      <c r="V181" s="89">
        <v>4600</v>
      </c>
      <c r="W181" s="89">
        <v>4600</v>
      </c>
      <c r="X181" s="159"/>
      <c r="Y181" s="183"/>
      <c r="Z181" s="183"/>
      <c r="AA181" s="183"/>
      <c r="AB181" s="183"/>
      <c r="AC181" s="178"/>
      <c r="AD181" s="178"/>
      <c r="AE181" s="178"/>
      <c r="AF181" s="178"/>
      <c r="AG181" s="178"/>
      <c r="AH181" s="178"/>
      <c r="AI181" s="183"/>
      <c r="AJ181" s="183"/>
      <c r="AK181" s="171"/>
      <c r="AL181" s="171">
        <f>X181/W181*100</f>
        <v>0</v>
      </c>
      <c r="AM181" s="171"/>
      <c r="AN181" s="187" t="e">
        <f ca="1">__xlfn.ISFORMULA(#REF!)</f>
        <v>#NAME?</v>
      </c>
      <c r="AO181" s="199" t="e">
        <f ca="1">__xlfn.ISFORMULA(#REF!)</f>
        <v>#NAME?</v>
      </c>
      <c r="AP181" s="193" t="e">
        <f t="shared" ca="1" si="102"/>
        <v>#NAME?</v>
      </c>
      <c r="AQ181" s="200">
        <v>4613.33</v>
      </c>
      <c r="AR181" s="204"/>
      <c r="AS181" s="204"/>
      <c r="AT181" s="204"/>
      <c r="AU181" s="204">
        <f>AQ181/W181*100</f>
        <v>100.28978260869566</v>
      </c>
      <c r="AV181" s="204"/>
    </row>
    <row r="182" spans="1:48" ht="12" customHeight="1">
      <c r="A182" s="58"/>
      <c r="B182" s="59"/>
      <c r="C182" s="59"/>
      <c r="D182" s="59"/>
      <c r="E182" s="59"/>
      <c r="F182" s="59"/>
      <c r="G182" s="59"/>
      <c r="H182" s="60">
        <v>72</v>
      </c>
      <c r="I182" s="125"/>
      <c r="J182" s="126"/>
      <c r="K182" s="127" t="s">
        <v>199</v>
      </c>
      <c r="L182" s="112">
        <f t="shared" ref="L182:Q182" si="106">L184</f>
        <v>55946</v>
      </c>
      <c r="M182" s="112">
        <f t="shared" si="106"/>
        <v>7425.3102395646683</v>
      </c>
      <c r="N182" s="113">
        <f t="shared" si="106"/>
        <v>2919</v>
      </c>
      <c r="O182" s="113">
        <f t="shared" si="106"/>
        <v>387.41787776229341</v>
      </c>
      <c r="P182" s="114">
        <f t="shared" si="106"/>
        <v>530</v>
      </c>
      <c r="Q182" s="114">
        <f t="shared" si="106"/>
        <v>530</v>
      </c>
      <c r="R182" s="167">
        <v>530</v>
      </c>
      <c r="S182" s="90"/>
      <c r="T182" s="90"/>
      <c r="U182" s="90" t="e">
        <f t="shared" ca="1" si="101"/>
        <v>#NAME?</v>
      </c>
      <c r="V182" s="89">
        <f>V184</f>
        <v>530</v>
      </c>
      <c r="W182" s="89">
        <f>W184</f>
        <v>530</v>
      </c>
      <c r="X182" s="88">
        <f>X184</f>
        <v>530</v>
      </c>
      <c r="Y182" s="171">
        <f>Y184</f>
        <v>530</v>
      </c>
      <c r="Z182" s="171"/>
      <c r="AA182" s="171"/>
      <c r="AB182" s="171"/>
      <c r="AC182" s="172">
        <f>AC184</f>
        <v>530</v>
      </c>
      <c r="AD182" s="172">
        <f>AD184</f>
        <v>530</v>
      </c>
      <c r="AE182" s="178">
        <f>O182/M182*100</f>
        <v>5.2175311907911199</v>
      </c>
      <c r="AF182" s="178"/>
      <c r="AG182" s="178"/>
      <c r="AH182" s="178"/>
      <c r="AI182" s="171"/>
      <c r="AJ182" s="171">
        <v>530</v>
      </c>
      <c r="AK182" s="171">
        <f>W182/R182*100</f>
        <v>100</v>
      </c>
      <c r="AL182" s="171">
        <f>X182/W182*100</f>
        <v>100</v>
      </c>
      <c r="AM182" s="171">
        <f>Y182/X182*100</f>
        <v>100</v>
      </c>
      <c r="AN182" s="187" t="e">
        <f ca="1">__xlfn.ISFORMULA(#REF!)</f>
        <v>#NAME?</v>
      </c>
      <c r="AO182" s="199" t="e">
        <f ca="1">__xlfn.ISFORMULA(#REF!)</f>
        <v>#NAME?</v>
      </c>
      <c r="AP182" s="193" t="e">
        <f t="shared" ca="1" si="102"/>
        <v>#NAME?</v>
      </c>
      <c r="AQ182" s="200">
        <f>AQ184</f>
        <v>358.21</v>
      </c>
      <c r="AR182" s="204">
        <f>V182/R182*100</f>
        <v>100</v>
      </c>
      <c r="AS182" s="204">
        <f>W182/V182*100</f>
        <v>100</v>
      </c>
      <c r="AT182" s="204">
        <f>W182/R182*100</f>
        <v>100</v>
      </c>
      <c r="AU182" s="204">
        <f>AQ182/W182*100</f>
        <v>67.586792452830181</v>
      </c>
      <c r="AV182" s="204">
        <f>AQ182/R182*100</f>
        <v>67.586792452830181</v>
      </c>
    </row>
    <row r="183" spans="1:48" ht="12" customHeight="1">
      <c r="A183" s="47"/>
      <c r="B183" s="42"/>
      <c r="C183" s="42"/>
      <c r="D183" s="42"/>
      <c r="E183" s="42"/>
      <c r="F183" s="42"/>
      <c r="G183" s="42"/>
      <c r="H183" s="38"/>
      <c r="I183" s="73"/>
      <c r="J183" s="91"/>
      <c r="K183" s="84"/>
      <c r="L183" s="85"/>
      <c r="M183" s="85"/>
      <c r="N183" s="86"/>
      <c r="O183" s="86"/>
      <c r="P183" s="87"/>
      <c r="Q183" s="87"/>
      <c r="R183" s="168"/>
      <c r="S183" s="161"/>
      <c r="T183" s="161"/>
      <c r="U183" s="90" t="e">
        <f t="shared" ca="1" si="101"/>
        <v>#NAME?</v>
      </c>
      <c r="V183" s="89"/>
      <c r="W183" s="89"/>
      <c r="X183" s="162"/>
      <c r="Y183" s="181"/>
      <c r="Z183" s="181"/>
      <c r="AA183" s="181"/>
      <c r="AB183" s="181"/>
      <c r="AC183" s="182"/>
      <c r="AD183" s="182"/>
      <c r="AE183" s="178"/>
      <c r="AF183" s="178"/>
      <c r="AG183" s="178"/>
      <c r="AH183" s="178"/>
      <c r="AI183" s="181"/>
      <c r="AJ183" s="181"/>
      <c r="AK183" s="171"/>
      <c r="AL183" s="171"/>
      <c r="AM183" s="171"/>
      <c r="AN183" s="187" t="e">
        <f ca="1">__xlfn.ISFORMULA(#REF!)</f>
        <v>#NAME?</v>
      </c>
      <c r="AO183" s="199" t="e">
        <f ca="1">__xlfn.ISFORMULA(#REF!)</f>
        <v>#NAME?</v>
      </c>
      <c r="AP183" s="193" t="e">
        <f t="shared" ca="1" si="102"/>
        <v>#NAME?</v>
      </c>
      <c r="AQ183" s="200"/>
      <c r="AR183" s="204"/>
      <c r="AS183" s="204"/>
      <c r="AT183" s="204"/>
      <c r="AU183" s="204"/>
      <c r="AV183" s="204"/>
    </row>
    <row r="184" spans="1:48" ht="12" customHeight="1">
      <c r="A184" s="61"/>
      <c r="B184" s="62"/>
      <c r="C184" s="62"/>
      <c r="D184" s="62"/>
      <c r="E184" s="62"/>
      <c r="F184" s="62"/>
      <c r="G184" s="62"/>
      <c r="H184" s="63">
        <v>721</v>
      </c>
      <c r="I184" s="128"/>
      <c r="J184" s="129"/>
      <c r="K184" s="19" t="s">
        <v>200</v>
      </c>
      <c r="L184" s="112">
        <f t="shared" ref="L184:Q184" si="107">L186+L189+L191</f>
        <v>55946</v>
      </c>
      <c r="M184" s="112">
        <f t="shared" si="107"/>
        <v>7425.3102395646683</v>
      </c>
      <c r="N184" s="113">
        <f t="shared" si="107"/>
        <v>2919</v>
      </c>
      <c r="O184" s="113">
        <f t="shared" si="107"/>
        <v>387.41787776229341</v>
      </c>
      <c r="P184" s="114">
        <f t="shared" si="107"/>
        <v>530</v>
      </c>
      <c r="Q184" s="114">
        <f t="shared" si="107"/>
        <v>530</v>
      </c>
      <c r="R184" s="167">
        <v>530</v>
      </c>
      <c r="S184" s="90"/>
      <c r="T184" s="90"/>
      <c r="U184" s="90" t="e">
        <f t="shared" ca="1" si="101"/>
        <v>#NAME?</v>
      </c>
      <c r="V184" s="89">
        <f>V186</f>
        <v>530</v>
      </c>
      <c r="W184" s="89">
        <f>W186</f>
        <v>530</v>
      </c>
      <c r="X184" s="88">
        <f>X186</f>
        <v>530</v>
      </c>
      <c r="Y184" s="171">
        <f>Y186</f>
        <v>530</v>
      </c>
      <c r="Z184" s="171"/>
      <c r="AA184" s="171"/>
      <c r="AB184" s="171"/>
      <c r="AC184" s="172">
        <f>AC186+AC189+AC191</f>
        <v>530</v>
      </c>
      <c r="AD184" s="172">
        <f>AD186+AD189+AD191</f>
        <v>530</v>
      </c>
      <c r="AE184" s="178">
        <f>O184/M184*100</f>
        <v>5.2175311907911199</v>
      </c>
      <c r="AF184" s="178"/>
      <c r="AG184" s="178"/>
      <c r="AH184" s="178"/>
      <c r="AI184" s="171"/>
      <c r="AJ184" s="171">
        <v>530</v>
      </c>
      <c r="AK184" s="171">
        <f>W184/R184*100</f>
        <v>100</v>
      </c>
      <c r="AL184" s="171">
        <f>X184/W184*100</f>
        <v>100</v>
      </c>
      <c r="AM184" s="171">
        <f>Y184/X184*100</f>
        <v>100</v>
      </c>
      <c r="AN184" s="187" t="e">
        <f ca="1">__xlfn.ISFORMULA(#REF!)</f>
        <v>#NAME?</v>
      </c>
      <c r="AO184" s="199" t="e">
        <f ca="1">__xlfn.ISFORMULA(#REF!)</f>
        <v>#NAME?</v>
      </c>
      <c r="AP184" s="193" t="e">
        <f t="shared" ca="1" si="102"/>
        <v>#NAME?</v>
      </c>
      <c r="AQ184" s="200">
        <f>AQ186</f>
        <v>358.21</v>
      </c>
      <c r="AR184" s="204">
        <f>V184/R184*100</f>
        <v>100</v>
      </c>
      <c r="AS184" s="204">
        <f>W184/V184*100</f>
        <v>100</v>
      </c>
      <c r="AT184" s="204">
        <f>W184/R184*100</f>
        <v>100</v>
      </c>
      <c r="AU184" s="204">
        <f>AQ184/W184*100</f>
        <v>67.586792452830181</v>
      </c>
      <c r="AV184" s="204">
        <f>AQ184/R184*100</f>
        <v>67.586792452830181</v>
      </c>
    </row>
    <row r="185" spans="1:48" ht="12" customHeight="1">
      <c r="A185" s="47"/>
      <c r="B185" s="42"/>
      <c r="C185" s="42"/>
      <c r="D185" s="42"/>
      <c r="E185" s="42"/>
      <c r="F185" s="42"/>
      <c r="G185" s="42"/>
      <c r="H185" s="38"/>
      <c r="I185" s="73"/>
      <c r="J185" s="74"/>
      <c r="K185" s="84"/>
      <c r="L185" s="85"/>
      <c r="M185" s="85"/>
      <c r="N185" s="86"/>
      <c r="O185" s="86"/>
      <c r="P185" s="87"/>
      <c r="Q185" s="87"/>
      <c r="R185" s="168"/>
      <c r="S185" s="161"/>
      <c r="T185" s="161"/>
      <c r="U185" s="90" t="e">
        <f t="shared" ca="1" si="101"/>
        <v>#NAME?</v>
      </c>
      <c r="V185" s="89"/>
      <c r="W185" s="89"/>
      <c r="X185" s="162"/>
      <c r="Y185" s="181"/>
      <c r="Z185" s="181"/>
      <c r="AA185" s="181"/>
      <c r="AB185" s="181"/>
      <c r="AC185" s="182"/>
      <c r="AD185" s="182"/>
      <c r="AE185" s="178"/>
      <c r="AF185" s="178"/>
      <c r="AG185" s="178"/>
      <c r="AH185" s="178"/>
      <c r="AI185" s="181"/>
      <c r="AJ185" s="181"/>
      <c r="AK185" s="171"/>
      <c r="AL185" s="171"/>
      <c r="AM185" s="171"/>
      <c r="AN185" s="187" t="e">
        <f ca="1">__xlfn.ISFORMULA(#REF!)</f>
        <v>#NAME?</v>
      </c>
      <c r="AO185" s="199" t="e">
        <f ca="1">__xlfn.ISFORMULA(#REF!)</f>
        <v>#NAME?</v>
      </c>
      <c r="AP185" s="193" t="e">
        <f t="shared" ca="1" si="102"/>
        <v>#NAME?</v>
      </c>
      <c r="AQ185" s="200"/>
      <c r="AR185" s="204"/>
      <c r="AS185" s="204"/>
      <c r="AT185" s="204"/>
      <c r="AU185" s="204"/>
      <c r="AV185" s="204"/>
    </row>
    <row r="186" spans="1:48" ht="12" customHeight="1">
      <c r="A186" s="52"/>
      <c r="B186" s="53"/>
      <c r="C186" s="53"/>
      <c r="D186" s="53"/>
      <c r="E186" s="53"/>
      <c r="F186" s="53"/>
      <c r="G186" s="53"/>
      <c r="H186" s="64">
        <v>7211</v>
      </c>
      <c r="I186" s="117"/>
      <c r="J186" s="118"/>
      <c r="K186" s="18" t="s">
        <v>201</v>
      </c>
      <c r="L186" s="112">
        <f t="shared" ref="L186:Q186" si="108">L187+L188</f>
        <v>4046</v>
      </c>
      <c r="M186" s="112">
        <f t="shared" si="108"/>
        <v>536.99648284557702</v>
      </c>
      <c r="N186" s="113">
        <f t="shared" si="108"/>
        <v>2919</v>
      </c>
      <c r="O186" s="113">
        <f t="shared" si="108"/>
        <v>387.41787776229341</v>
      </c>
      <c r="P186" s="114">
        <f t="shared" si="108"/>
        <v>530</v>
      </c>
      <c r="Q186" s="114">
        <f t="shared" si="108"/>
        <v>530</v>
      </c>
      <c r="R186" s="167">
        <v>530</v>
      </c>
      <c r="S186" s="90"/>
      <c r="T186" s="90"/>
      <c r="U186" s="90" t="e">
        <f t="shared" ca="1" si="101"/>
        <v>#NAME?</v>
      </c>
      <c r="V186" s="89">
        <f>V187</f>
        <v>530</v>
      </c>
      <c r="W186" s="89">
        <f>W187</f>
        <v>530</v>
      </c>
      <c r="X186" s="88">
        <f>X187</f>
        <v>530</v>
      </c>
      <c r="Y186" s="171">
        <f>Y187</f>
        <v>530</v>
      </c>
      <c r="Z186" s="171"/>
      <c r="AA186" s="171"/>
      <c r="AB186" s="171"/>
      <c r="AC186" s="172">
        <f>AC187+AC188</f>
        <v>530</v>
      </c>
      <c r="AD186" s="172">
        <f>AD187+AD188</f>
        <v>530</v>
      </c>
      <c r="AE186" s="178">
        <f>O186/M186*100</f>
        <v>72.145328719723182</v>
      </c>
      <c r="AF186" s="178"/>
      <c r="AG186" s="178"/>
      <c r="AH186" s="178"/>
      <c r="AI186" s="171"/>
      <c r="AJ186" s="171">
        <v>530</v>
      </c>
      <c r="AK186" s="171">
        <f>W186/R186*100</f>
        <v>100</v>
      </c>
      <c r="AL186" s="171">
        <f>X186/W186*100</f>
        <v>100</v>
      </c>
      <c r="AM186" s="171">
        <f>Y186/X186*100</f>
        <v>100</v>
      </c>
      <c r="AN186" s="187" t="e">
        <f ca="1">__xlfn.ISFORMULA(#REF!)</f>
        <v>#NAME?</v>
      </c>
      <c r="AO186" s="199" t="e">
        <f ca="1">__xlfn.ISFORMULA(#REF!)</f>
        <v>#NAME?</v>
      </c>
      <c r="AP186" s="193" t="e">
        <f t="shared" ca="1" si="102"/>
        <v>#NAME?</v>
      </c>
      <c r="AQ186" s="200">
        <f>AQ187</f>
        <v>358.21</v>
      </c>
      <c r="AR186" s="204">
        <f>V186/R186*100</f>
        <v>100</v>
      </c>
      <c r="AS186" s="204">
        <f>W186/V186*100</f>
        <v>100</v>
      </c>
      <c r="AT186" s="204">
        <f>W186/R186*100</f>
        <v>100</v>
      </c>
      <c r="AU186" s="204">
        <f>AQ186/W186*100</f>
        <v>67.586792452830181</v>
      </c>
      <c r="AV186" s="204">
        <f>AQ186/R186*100</f>
        <v>67.586792452830181</v>
      </c>
    </row>
    <row r="187" spans="1:48" ht="12" customHeight="1">
      <c r="A187" s="52"/>
      <c r="B187" s="53"/>
      <c r="C187" s="53"/>
      <c r="D187" s="53"/>
      <c r="E187" s="53"/>
      <c r="F187" s="53"/>
      <c r="G187" s="53"/>
      <c r="H187" s="64">
        <v>72119</v>
      </c>
      <c r="I187" s="117"/>
      <c r="J187" s="118"/>
      <c r="K187" s="18" t="s">
        <v>202</v>
      </c>
      <c r="L187" s="130">
        <v>4046</v>
      </c>
      <c r="M187" s="130">
        <f>4046/7.5345</f>
        <v>536.99648284557702</v>
      </c>
      <c r="N187" s="131">
        <v>2919</v>
      </c>
      <c r="O187" s="131">
        <f>N187/7.5345</f>
        <v>387.41787776229341</v>
      </c>
      <c r="P187" s="132">
        <v>530</v>
      </c>
      <c r="Q187" s="132">
        <v>530</v>
      </c>
      <c r="R187" s="164">
        <v>530</v>
      </c>
      <c r="S187" s="165"/>
      <c r="T187" s="165"/>
      <c r="U187" s="90" t="e">
        <f t="shared" ca="1" si="101"/>
        <v>#NAME?</v>
      </c>
      <c r="V187" s="89">
        <v>530</v>
      </c>
      <c r="W187" s="89">
        <v>530</v>
      </c>
      <c r="X187" s="159">
        <v>530</v>
      </c>
      <c r="Y187" s="183">
        <v>530</v>
      </c>
      <c r="Z187" s="183"/>
      <c r="AA187" s="183"/>
      <c r="AB187" s="183"/>
      <c r="AC187" s="178">
        <v>530</v>
      </c>
      <c r="AD187" s="178">
        <v>530</v>
      </c>
      <c r="AE187" s="178">
        <f>O187/M187*100</f>
        <v>72.145328719723182</v>
      </c>
      <c r="AF187" s="178">
        <f>P187/O187*100</f>
        <v>136.8031860226105</v>
      </c>
      <c r="AG187" s="178">
        <f>Q187/P187*100</f>
        <v>100</v>
      </c>
      <c r="AH187" s="178">
        <f>AC187/Q187*100</f>
        <v>100</v>
      </c>
      <c r="AI187" s="183"/>
      <c r="AJ187" s="183">
        <v>530</v>
      </c>
      <c r="AK187" s="171">
        <f>W187/R187*100</f>
        <v>100</v>
      </c>
      <c r="AL187" s="171">
        <f>X187/W187*100</f>
        <v>100</v>
      </c>
      <c r="AM187" s="171">
        <f>Y187/X187*100</f>
        <v>100</v>
      </c>
      <c r="AN187" s="187" t="e">
        <f ca="1">__xlfn.ISFORMULA(#REF!)</f>
        <v>#NAME?</v>
      </c>
      <c r="AO187" s="199" t="e">
        <f ca="1">__xlfn.ISFORMULA(#REF!)</f>
        <v>#NAME?</v>
      </c>
      <c r="AP187" s="193" t="e">
        <f t="shared" ca="1" si="102"/>
        <v>#NAME?</v>
      </c>
      <c r="AQ187" s="200">
        <v>358.21</v>
      </c>
      <c r="AR187" s="204">
        <f>V187/R187*100</f>
        <v>100</v>
      </c>
      <c r="AS187" s="204">
        <f>W187/V187*100</f>
        <v>100</v>
      </c>
      <c r="AT187" s="204">
        <f>W187/R187*100</f>
        <v>100</v>
      </c>
      <c r="AU187" s="204">
        <f>AQ187/W187*100</f>
        <v>67.586792452830181</v>
      </c>
      <c r="AV187" s="204">
        <f>AQ187/R187*100</f>
        <v>67.586792452830181</v>
      </c>
    </row>
    <row r="188" spans="1:48" ht="12" customHeight="1">
      <c r="A188" s="52"/>
      <c r="B188" s="53"/>
      <c r="C188" s="53"/>
      <c r="D188" s="53"/>
      <c r="E188" s="53"/>
      <c r="F188" s="53"/>
      <c r="G188" s="53"/>
      <c r="H188" s="64">
        <v>72119</v>
      </c>
      <c r="I188" s="117"/>
      <c r="J188" s="118"/>
      <c r="K188" s="18" t="s">
        <v>203</v>
      </c>
      <c r="L188" s="130">
        <v>0</v>
      </c>
      <c r="M188" s="130">
        <v>0</v>
      </c>
      <c r="N188" s="131">
        <v>0</v>
      </c>
      <c r="O188" s="131">
        <v>0</v>
      </c>
      <c r="P188" s="132">
        <v>0</v>
      </c>
      <c r="Q188" s="132">
        <v>0</v>
      </c>
      <c r="R188" s="164">
        <v>0</v>
      </c>
      <c r="S188" s="165"/>
      <c r="T188" s="165"/>
      <c r="U188" s="90" t="e">
        <f t="shared" ca="1" si="101"/>
        <v>#NAME?</v>
      </c>
      <c r="V188" s="89"/>
      <c r="W188" s="89"/>
      <c r="X188" s="159"/>
      <c r="Y188" s="183"/>
      <c r="Z188" s="183"/>
      <c r="AA188" s="183"/>
      <c r="AB188" s="183"/>
      <c r="AC188" s="178">
        <v>0</v>
      </c>
      <c r="AD188" s="178">
        <v>0</v>
      </c>
      <c r="AE188" s="178"/>
      <c r="AF188" s="178"/>
      <c r="AG188" s="178"/>
      <c r="AH188" s="178"/>
      <c r="AI188" s="183"/>
      <c r="AJ188" s="183"/>
      <c r="AK188" s="171"/>
      <c r="AL188" s="171"/>
      <c r="AM188" s="171"/>
      <c r="AN188" s="187" t="e">
        <f ca="1">__xlfn.ISFORMULA(#REF!)</f>
        <v>#NAME?</v>
      </c>
      <c r="AO188" s="199" t="e">
        <f ca="1">__xlfn.ISFORMULA(#REF!)</f>
        <v>#NAME?</v>
      </c>
      <c r="AP188" s="193" t="e">
        <f t="shared" ca="1" si="102"/>
        <v>#NAME?</v>
      </c>
      <c r="AQ188" s="200"/>
      <c r="AR188" s="204"/>
      <c r="AS188" s="204"/>
      <c r="AT188" s="204"/>
      <c r="AU188" s="204"/>
      <c r="AV188" s="204"/>
    </row>
    <row r="189" spans="1:48" ht="12" customHeight="1">
      <c r="A189" s="52"/>
      <c r="B189" s="53"/>
      <c r="C189" s="53"/>
      <c r="D189" s="53"/>
      <c r="E189" s="53"/>
      <c r="F189" s="53"/>
      <c r="G189" s="53"/>
      <c r="H189" s="64">
        <v>7212</v>
      </c>
      <c r="I189" s="117"/>
      <c r="J189" s="118"/>
      <c r="K189" s="18" t="s">
        <v>204</v>
      </c>
      <c r="L189" s="112">
        <f t="shared" ref="L189:Q189" si="109">L190+L193</f>
        <v>51900</v>
      </c>
      <c r="M189" s="112">
        <f t="shared" si="109"/>
        <v>6888.3137567190915</v>
      </c>
      <c r="N189" s="113">
        <f t="shared" si="109"/>
        <v>0</v>
      </c>
      <c r="O189" s="113">
        <f t="shared" si="109"/>
        <v>0</v>
      </c>
      <c r="P189" s="114">
        <f t="shared" si="109"/>
        <v>0</v>
      </c>
      <c r="Q189" s="114">
        <f t="shared" si="109"/>
        <v>0</v>
      </c>
      <c r="R189" s="167">
        <v>0</v>
      </c>
      <c r="S189" s="90"/>
      <c r="T189" s="90"/>
      <c r="U189" s="90" t="e">
        <f t="shared" ca="1" si="101"/>
        <v>#NAME?</v>
      </c>
      <c r="V189" s="89"/>
      <c r="W189" s="89"/>
      <c r="X189" s="88"/>
      <c r="Y189" s="171"/>
      <c r="Z189" s="171"/>
      <c r="AA189" s="171"/>
      <c r="AB189" s="171"/>
      <c r="AC189" s="172">
        <f>AC190+AC193</f>
        <v>0</v>
      </c>
      <c r="AD189" s="172">
        <f>AD190+AD193</f>
        <v>0</v>
      </c>
      <c r="AE189" s="178">
        <f>O189/M189*100</f>
        <v>0</v>
      </c>
      <c r="AF189" s="178"/>
      <c r="AG189" s="178"/>
      <c r="AH189" s="178"/>
      <c r="AI189" s="171"/>
      <c r="AJ189" s="171"/>
      <c r="AK189" s="171"/>
      <c r="AL189" s="171"/>
      <c r="AM189" s="171"/>
      <c r="AN189" s="187" t="e">
        <f ca="1">__xlfn.ISFORMULA(#REF!)</f>
        <v>#NAME?</v>
      </c>
      <c r="AO189" s="199" t="e">
        <f ca="1">__xlfn.ISFORMULA(#REF!)</f>
        <v>#NAME?</v>
      </c>
      <c r="AP189" s="193" t="e">
        <f t="shared" ca="1" si="102"/>
        <v>#NAME?</v>
      </c>
      <c r="AQ189" s="200"/>
      <c r="AR189" s="204"/>
      <c r="AS189" s="204"/>
      <c r="AT189" s="204"/>
      <c r="AU189" s="204"/>
      <c r="AV189" s="204"/>
    </row>
    <row r="190" spans="1:48" ht="12" customHeight="1">
      <c r="A190" s="52"/>
      <c r="B190" s="53"/>
      <c r="C190" s="53"/>
      <c r="D190" s="53"/>
      <c r="E190" s="53"/>
      <c r="F190" s="53"/>
      <c r="G190" s="53"/>
      <c r="H190" s="64">
        <v>72129</v>
      </c>
      <c r="I190" s="117"/>
      <c r="J190" s="118"/>
      <c r="K190" s="18" t="s">
        <v>205</v>
      </c>
      <c r="L190" s="130">
        <v>51900</v>
      </c>
      <c r="M190" s="130">
        <f>51900/7.5345</f>
        <v>6888.3137567190915</v>
      </c>
      <c r="N190" s="131">
        <v>0</v>
      </c>
      <c r="O190" s="131">
        <v>0</v>
      </c>
      <c r="P190" s="132">
        <v>0</v>
      </c>
      <c r="Q190" s="132">
        <v>0</v>
      </c>
      <c r="R190" s="164">
        <v>0</v>
      </c>
      <c r="S190" s="165"/>
      <c r="T190" s="165"/>
      <c r="U190" s="90" t="e">
        <f t="shared" ca="1" si="101"/>
        <v>#NAME?</v>
      </c>
      <c r="V190" s="89"/>
      <c r="W190" s="89"/>
      <c r="X190" s="159"/>
      <c r="Y190" s="183"/>
      <c r="Z190" s="183"/>
      <c r="AA190" s="183"/>
      <c r="AB190" s="183"/>
      <c r="AC190" s="178">
        <v>0</v>
      </c>
      <c r="AD190" s="178">
        <v>0</v>
      </c>
      <c r="AE190" s="178">
        <f>O190/M190*100</f>
        <v>0</v>
      </c>
      <c r="AF190" s="178"/>
      <c r="AG190" s="178"/>
      <c r="AH190" s="178"/>
      <c r="AI190" s="183"/>
      <c r="AJ190" s="183"/>
      <c r="AK190" s="171"/>
      <c r="AL190" s="171"/>
      <c r="AM190" s="171"/>
      <c r="AN190" s="187" t="e">
        <f ca="1">__xlfn.ISFORMULA(#REF!)</f>
        <v>#NAME?</v>
      </c>
      <c r="AO190" s="199" t="e">
        <f ca="1">__xlfn.ISFORMULA(#REF!)</f>
        <v>#NAME?</v>
      </c>
      <c r="AP190" s="193" t="e">
        <f t="shared" ca="1" si="102"/>
        <v>#NAME?</v>
      </c>
      <c r="AQ190" s="200"/>
      <c r="AR190" s="204"/>
      <c r="AS190" s="204"/>
      <c r="AT190" s="204"/>
      <c r="AU190" s="204"/>
      <c r="AV190" s="204"/>
    </row>
    <row r="191" spans="1:48" ht="12" customHeight="1">
      <c r="A191" s="52"/>
      <c r="B191" s="53"/>
      <c r="C191" s="53"/>
      <c r="D191" s="53"/>
      <c r="E191" s="53"/>
      <c r="F191" s="53"/>
      <c r="G191" s="53"/>
      <c r="H191" s="64">
        <v>7214</v>
      </c>
      <c r="I191" s="117"/>
      <c r="J191" s="118"/>
      <c r="K191" s="18" t="s">
        <v>206</v>
      </c>
      <c r="L191" s="112">
        <f t="shared" ref="L191:Q191" si="110">L192</f>
        <v>0</v>
      </c>
      <c r="M191" s="112">
        <f t="shared" si="110"/>
        <v>0</v>
      </c>
      <c r="N191" s="113">
        <f t="shared" si="110"/>
        <v>0</v>
      </c>
      <c r="O191" s="113">
        <f t="shared" si="110"/>
        <v>0</v>
      </c>
      <c r="P191" s="114">
        <f t="shared" si="110"/>
        <v>0</v>
      </c>
      <c r="Q191" s="114">
        <f t="shared" si="110"/>
        <v>0</v>
      </c>
      <c r="R191" s="167">
        <v>0</v>
      </c>
      <c r="S191" s="90"/>
      <c r="T191" s="90"/>
      <c r="U191" s="90" t="e">
        <f t="shared" ca="1" si="101"/>
        <v>#NAME?</v>
      </c>
      <c r="V191" s="89"/>
      <c r="W191" s="89"/>
      <c r="X191" s="88"/>
      <c r="Y191" s="171"/>
      <c r="Z191" s="171"/>
      <c r="AA191" s="171"/>
      <c r="AB191" s="171"/>
      <c r="AC191" s="172">
        <f>AC192</f>
        <v>0</v>
      </c>
      <c r="AD191" s="172">
        <f>AD192</f>
        <v>0</v>
      </c>
      <c r="AE191" s="178"/>
      <c r="AF191" s="178"/>
      <c r="AG191" s="178"/>
      <c r="AH191" s="178"/>
      <c r="AI191" s="171"/>
      <c r="AJ191" s="171"/>
      <c r="AK191" s="171"/>
      <c r="AL191" s="171"/>
      <c r="AM191" s="171"/>
      <c r="AN191" s="187" t="e">
        <f ca="1">__xlfn.ISFORMULA(#REF!)</f>
        <v>#NAME?</v>
      </c>
      <c r="AO191" s="199" t="e">
        <f ca="1">__xlfn.ISFORMULA(#REF!)</f>
        <v>#NAME?</v>
      </c>
      <c r="AP191" s="193" t="e">
        <f t="shared" ca="1" si="102"/>
        <v>#NAME?</v>
      </c>
      <c r="AQ191" s="200"/>
      <c r="AR191" s="204"/>
      <c r="AS191" s="204"/>
      <c r="AT191" s="204"/>
      <c r="AU191" s="204"/>
      <c r="AV191" s="204"/>
    </row>
    <row r="192" spans="1:48" ht="12" customHeight="1">
      <c r="A192" s="610"/>
      <c r="B192" s="611"/>
      <c r="C192" s="611"/>
      <c r="D192" s="611"/>
      <c r="E192" s="611"/>
      <c r="F192" s="611"/>
      <c r="G192" s="611"/>
      <c r="H192" s="274">
        <v>72149</v>
      </c>
      <c r="I192" s="277"/>
      <c r="J192" s="278"/>
      <c r="K192" s="353" t="s">
        <v>207</v>
      </c>
      <c r="L192" s="354">
        <v>0</v>
      </c>
      <c r="M192" s="354">
        <v>0</v>
      </c>
      <c r="N192" s="355">
        <v>0</v>
      </c>
      <c r="O192" s="355">
        <v>0</v>
      </c>
      <c r="P192" s="356">
        <v>0</v>
      </c>
      <c r="Q192" s="356">
        <v>0</v>
      </c>
      <c r="R192" s="365">
        <v>0</v>
      </c>
      <c r="S192" s="364"/>
      <c r="T192" s="364"/>
      <c r="U192" s="98" t="e">
        <f t="shared" ca="1" si="101"/>
        <v>#NAME?</v>
      </c>
      <c r="V192" s="97"/>
      <c r="W192" s="97"/>
      <c r="X192" s="363"/>
      <c r="Y192" s="383"/>
      <c r="Z192" s="383"/>
      <c r="AA192" s="383"/>
      <c r="AB192" s="383"/>
      <c r="AC192" s="366">
        <v>0</v>
      </c>
      <c r="AD192" s="366">
        <v>0</v>
      </c>
      <c r="AE192" s="366"/>
      <c r="AF192" s="366"/>
      <c r="AG192" s="366"/>
      <c r="AH192" s="366"/>
      <c r="AI192" s="383"/>
      <c r="AJ192" s="383"/>
      <c r="AK192" s="173"/>
      <c r="AL192" s="173"/>
      <c r="AM192" s="173"/>
      <c r="AN192" s="612" t="e">
        <f ca="1">__xlfn.ISFORMULA(#REF!)</f>
        <v>#NAME?</v>
      </c>
      <c r="AO192" s="613" t="e">
        <f ca="1">__xlfn.ISFORMULA(#REF!)</f>
        <v>#NAME?</v>
      </c>
      <c r="AP192" s="193" t="e">
        <f t="shared" ca="1" si="102"/>
        <v>#NAME?</v>
      </c>
      <c r="AQ192" s="200"/>
      <c r="AR192" s="204"/>
      <c r="AS192" s="204"/>
      <c r="AT192" s="204"/>
      <c r="AU192" s="204"/>
      <c r="AV192" s="204"/>
    </row>
    <row r="193" spans="1:48" ht="12" customHeight="1">
      <c r="A193" s="232"/>
      <c r="B193" s="232"/>
      <c r="C193" s="232"/>
      <c r="D193" s="232"/>
      <c r="E193" s="232"/>
      <c r="F193" s="232"/>
      <c r="G193" s="232"/>
      <c r="H193" s="233" t="s">
        <v>208</v>
      </c>
      <c r="I193" s="243"/>
      <c r="J193" s="233"/>
      <c r="K193" s="99"/>
      <c r="L193" s="101"/>
      <c r="M193" s="101"/>
      <c r="N193" s="101"/>
      <c r="O193" s="101"/>
      <c r="P193" s="101"/>
      <c r="Q193" s="101"/>
      <c r="R193" s="254"/>
      <c r="S193" s="254"/>
      <c r="T193" s="254"/>
      <c r="U193" s="255" t="e">
        <f t="shared" ca="1" si="101"/>
        <v>#NAME?</v>
      </c>
      <c r="V193" s="254"/>
      <c r="W193" s="254"/>
      <c r="X193" s="256"/>
      <c r="Y193" s="259"/>
      <c r="Z193" s="259"/>
      <c r="AA193" s="259"/>
      <c r="AB193" s="259"/>
      <c r="AC193" s="260"/>
      <c r="AD193" s="260"/>
      <c r="AE193" s="261"/>
      <c r="AF193" s="261"/>
      <c r="AG193" s="261"/>
      <c r="AH193" s="261"/>
      <c r="AI193" s="259"/>
      <c r="AJ193" s="259"/>
      <c r="AK193" s="263"/>
      <c r="AL193" s="263"/>
      <c r="AM193" s="263"/>
      <c r="AN193" s="264"/>
      <c r="AO193" s="265"/>
      <c r="AP193" s="265" t="e">
        <f t="shared" ca="1" si="102"/>
        <v>#NAME?</v>
      </c>
      <c r="AQ193" s="254"/>
      <c r="AR193" s="266"/>
      <c r="AS193" s="266"/>
      <c r="AT193" s="266"/>
      <c r="AU193" s="266"/>
      <c r="AV193" s="266"/>
    </row>
    <row r="194" spans="1:48" ht="12" customHeight="1">
      <c r="A194" s="232"/>
      <c r="B194" s="232"/>
      <c r="C194" s="232"/>
      <c r="D194" s="232"/>
      <c r="E194" s="232"/>
      <c r="F194" s="232"/>
      <c r="G194" s="232"/>
      <c r="H194" s="233"/>
      <c r="I194" s="243"/>
      <c r="J194" s="233"/>
      <c r="K194" s="99"/>
      <c r="L194" s="101"/>
      <c r="M194" s="101"/>
      <c r="N194" s="101"/>
      <c r="O194" s="101"/>
      <c r="P194" s="101"/>
      <c r="Q194" s="101"/>
      <c r="R194" s="254"/>
      <c r="S194" s="254"/>
      <c r="T194" s="254"/>
      <c r="U194" s="255" t="e">
        <f t="shared" ca="1" si="101"/>
        <v>#NAME?</v>
      </c>
      <c r="V194" s="254"/>
      <c r="W194" s="254"/>
      <c r="X194" s="256"/>
      <c r="Y194" s="259"/>
      <c r="Z194" s="259"/>
      <c r="AA194" s="259"/>
      <c r="AB194" s="259"/>
      <c r="AC194" s="260"/>
      <c r="AD194" s="260"/>
      <c r="AE194" s="262"/>
      <c r="AF194" s="262"/>
      <c r="AG194" s="262"/>
      <c r="AH194" s="262"/>
      <c r="AI194" s="259"/>
      <c r="AJ194" s="259"/>
      <c r="AK194" s="263"/>
      <c r="AL194" s="263"/>
      <c r="AM194" s="263"/>
      <c r="AN194" s="264"/>
      <c r="AO194" s="265"/>
      <c r="AP194" s="265" t="e">
        <f t="shared" ca="1" si="102"/>
        <v>#NAME?</v>
      </c>
      <c r="AQ194" s="254"/>
      <c r="AR194" s="266"/>
      <c r="AS194" s="266"/>
      <c r="AT194" s="266"/>
      <c r="AU194" s="266"/>
      <c r="AV194" s="266"/>
    </row>
    <row r="195" spans="1:48" ht="12" customHeight="1">
      <c r="A195" s="234"/>
      <c r="B195" s="235"/>
      <c r="C195" s="235"/>
      <c r="D195" s="235"/>
      <c r="E195" s="235"/>
      <c r="F195" s="235"/>
      <c r="G195" s="235"/>
      <c r="H195" s="236" t="s">
        <v>209</v>
      </c>
      <c r="I195" s="244"/>
      <c r="J195" s="245"/>
      <c r="K195" s="246" t="s">
        <v>210</v>
      </c>
      <c r="L195" s="76" t="s">
        <v>4</v>
      </c>
      <c r="M195" s="76" t="s">
        <v>4</v>
      </c>
      <c r="N195" s="77" t="s">
        <v>211</v>
      </c>
      <c r="O195" s="77" t="s">
        <v>211</v>
      </c>
      <c r="P195" s="78" t="s">
        <v>212</v>
      </c>
      <c r="Q195" s="78" t="s">
        <v>213</v>
      </c>
      <c r="R195" s="257" t="s">
        <v>214</v>
      </c>
      <c r="S195" s="258" t="s">
        <v>215</v>
      </c>
      <c r="T195" s="258"/>
      <c r="U195" s="258" t="e">
        <f t="shared" ca="1" si="101"/>
        <v>#NAME?</v>
      </c>
      <c r="V195" s="149" t="s">
        <v>10</v>
      </c>
      <c r="W195" s="149" t="s">
        <v>10</v>
      </c>
      <c r="X195" s="258" t="s">
        <v>11</v>
      </c>
      <c r="Y195" s="258">
        <v>2026</v>
      </c>
      <c r="Z195" s="258"/>
      <c r="AA195" s="258"/>
      <c r="AB195" s="258"/>
      <c r="AC195" s="258" t="s">
        <v>216</v>
      </c>
      <c r="AD195" s="258" t="s">
        <v>217</v>
      </c>
      <c r="AE195" s="258" t="s">
        <v>218</v>
      </c>
      <c r="AF195" s="258" t="s">
        <v>219</v>
      </c>
      <c r="AG195" s="258" t="s">
        <v>220</v>
      </c>
      <c r="AH195" s="258" t="s">
        <v>221</v>
      </c>
      <c r="AI195" s="258"/>
      <c r="AJ195" s="258">
        <v>2026</v>
      </c>
      <c r="AK195" s="258">
        <v>1</v>
      </c>
      <c r="AL195" s="258">
        <v>2</v>
      </c>
      <c r="AM195" s="258">
        <v>3</v>
      </c>
      <c r="AN195" s="258"/>
      <c r="AO195" s="258"/>
      <c r="AP195" s="267" t="e">
        <f t="shared" ca="1" si="102"/>
        <v>#NAME?</v>
      </c>
      <c r="AQ195" s="268" t="s">
        <v>214</v>
      </c>
      <c r="AR195" s="650" t="s">
        <v>14</v>
      </c>
      <c r="AS195" s="648" t="s">
        <v>15</v>
      </c>
      <c r="AT195" s="648" t="s">
        <v>16</v>
      </c>
      <c r="AU195" s="648" t="s">
        <v>17</v>
      </c>
      <c r="AV195" s="648" t="s">
        <v>18</v>
      </c>
    </row>
    <row r="196" spans="1:48" ht="12" customHeight="1">
      <c r="A196" s="237"/>
      <c r="B196" s="238"/>
      <c r="C196" s="238"/>
      <c r="D196" s="238"/>
      <c r="E196" s="238"/>
      <c r="F196" s="238"/>
      <c r="G196" s="238"/>
      <c r="H196" s="239"/>
      <c r="I196" s="247"/>
      <c r="J196" s="248"/>
      <c r="K196" s="249"/>
      <c r="L196" s="80" t="s">
        <v>19</v>
      </c>
      <c r="M196" s="80" t="s">
        <v>20</v>
      </c>
      <c r="N196" s="81" t="s">
        <v>19</v>
      </c>
      <c r="O196" s="81" t="s">
        <v>20</v>
      </c>
      <c r="P196" s="82" t="s">
        <v>20</v>
      </c>
      <c r="Q196" s="82" t="s">
        <v>20</v>
      </c>
      <c r="R196" s="151" t="s">
        <v>222</v>
      </c>
      <c r="S196" s="258">
        <v>45596</v>
      </c>
      <c r="T196" s="258"/>
      <c r="U196" s="258" t="e">
        <f t="shared" ca="1" si="101"/>
        <v>#NAME?</v>
      </c>
      <c r="V196" s="151" t="s">
        <v>24</v>
      </c>
      <c r="W196" s="151" t="s">
        <v>24</v>
      </c>
      <c r="X196" s="258"/>
      <c r="Y196" s="258"/>
      <c r="Z196" s="258"/>
      <c r="AA196" s="258"/>
      <c r="AB196" s="258"/>
      <c r="AC196" s="258"/>
      <c r="AD196" s="258"/>
      <c r="AE196" s="258"/>
      <c r="AF196" s="258"/>
      <c r="AG196" s="258"/>
      <c r="AH196" s="258"/>
      <c r="AI196" s="258"/>
      <c r="AJ196" s="258"/>
      <c r="AK196" s="258">
        <v>1</v>
      </c>
      <c r="AL196" s="258">
        <v>2</v>
      </c>
      <c r="AM196" s="258">
        <v>3</v>
      </c>
      <c r="AN196" s="258"/>
      <c r="AO196" s="258"/>
      <c r="AP196" s="267" t="e">
        <f t="shared" ca="1" si="102"/>
        <v>#NAME?</v>
      </c>
      <c r="AQ196" s="151" t="s">
        <v>24</v>
      </c>
      <c r="AR196" s="651"/>
      <c r="AS196" s="649"/>
      <c r="AT196" s="649"/>
      <c r="AU196" s="649"/>
      <c r="AV196" s="649"/>
    </row>
    <row r="197" spans="1:48" ht="12" customHeight="1">
      <c r="A197" s="39"/>
      <c r="B197" s="40"/>
      <c r="C197" s="40"/>
      <c r="D197" s="40"/>
      <c r="E197" s="40"/>
      <c r="F197" s="40"/>
      <c r="G197" s="40"/>
      <c r="H197" s="41"/>
      <c r="I197" s="72"/>
      <c r="J197" s="108"/>
      <c r="K197" s="83"/>
      <c r="L197" s="80"/>
      <c r="M197" s="80"/>
      <c r="N197" s="81"/>
      <c r="O197" s="81"/>
      <c r="P197" s="82"/>
      <c r="Q197" s="82"/>
      <c r="R197" s="152"/>
      <c r="S197" s="258"/>
      <c r="T197" s="258"/>
      <c r="U197" s="258"/>
      <c r="V197" s="153" t="s">
        <v>25</v>
      </c>
      <c r="W197" s="153" t="s">
        <v>26</v>
      </c>
      <c r="X197" s="258"/>
      <c r="Y197" s="258"/>
      <c r="Z197" s="258"/>
      <c r="AA197" s="258"/>
      <c r="AB197" s="258"/>
      <c r="AC197" s="258"/>
      <c r="AD197" s="258"/>
      <c r="AE197" s="258"/>
      <c r="AF197" s="258"/>
      <c r="AG197" s="258"/>
      <c r="AH197" s="258"/>
      <c r="AI197" s="258"/>
      <c r="AJ197" s="258"/>
      <c r="AK197" s="258"/>
      <c r="AL197" s="258"/>
      <c r="AM197" s="258"/>
      <c r="AN197" s="258"/>
      <c r="AO197" s="258"/>
      <c r="AP197" s="267"/>
      <c r="AQ197" s="269"/>
      <c r="AR197" s="270"/>
      <c r="AS197" s="270"/>
      <c r="AT197" s="270"/>
      <c r="AU197" s="270"/>
      <c r="AV197" s="271"/>
    </row>
    <row r="198" spans="1:48" ht="12" customHeight="1">
      <c r="A198" s="42"/>
      <c r="B198" s="42"/>
      <c r="C198" s="42"/>
      <c r="D198" s="42"/>
      <c r="E198" s="42"/>
      <c r="F198" s="42"/>
      <c r="G198" s="42"/>
      <c r="H198" s="38"/>
      <c r="I198" s="73"/>
      <c r="J198" s="91"/>
      <c r="K198" s="84"/>
      <c r="L198" s="85">
        <v>1</v>
      </c>
      <c r="M198" s="85">
        <v>2</v>
      </c>
      <c r="N198" s="86">
        <v>3</v>
      </c>
      <c r="O198" s="86">
        <v>4</v>
      </c>
      <c r="P198" s="87">
        <v>5</v>
      </c>
      <c r="Q198" s="87">
        <v>6</v>
      </c>
      <c r="R198" s="258">
        <v>1</v>
      </c>
      <c r="S198" s="258"/>
      <c r="T198" s="258"/>
      <c r="U198" s="258" t="e">
        <f t="shared" ref="U198:U261" ca="1" si="111">__xlfn.ISFORMULA(S198)</f>
        <v>#NAME?</v>
      </c>
      <c r="V198" s="258">
        <v>2</v>
      </c>
      <c r="W198" s="258">
        <v>3</v>
      </c>
      <c r="X198" s="258"/>
      <c r="Y198" s="258"/>
      <c r="Z198" s="258"/>
      <c r="AA198" s="258"/>
      <c r="AB198" s="258"/>
      <c r="AC198" s="258">
        <v>7</v>
      </c>
      <c r="AD198" s="258">
        <v>8</v>
      </c>
      <c r="AE198" s="258">
        <v>9</v>
      </c>
      <c r="AF198" s="258">
        <v>10</v>
      </c>
      <c r="AG198" s="258">
        <v>11</v>
      </c>
      <c r="AH198" s="258">
        <v>12</v>
      </c>
      <c r="AI198" s="258"/>
      <c r="AJ198" s="258"/>
      <c r="AK198" s="258"/>
      <c r="AL198" s="258"/>
      <c r="AM198" s="258"/>
      <c r="AN198" s="258"/>
      <c r="AO198" s="258"/>
      <c r="AP198" s="258" t="e">
        <f t="shared" ref="AP198:AP261" ca="1" si="112">__xlfn.ISFORMULA(X198)</f>
        <v>#NAME?</v>
      </c>
      <c r="AQ198" s="269">
        <v>4</v>
      </c>
      <c r="AR198" s="645"/>
      <c r="AS198" s="646"/>
      <c r="AT198" s="646"/>
      <c r="AU198" s="646"/>
      <c r="AV198" s="647"/>
    </row>
    <row r="199" spans="1:48" ht="12" customHeight="1">
      <c r="A199" s="240"/>
      <c r="B199" s="240"/>
      <c r="C199" s="240"/>
      <c r="D199" s="240"/>
      <c r="E199" s="240"/>
      <c r="F199" s="240"/>
      <c r="G199" s="240"/>
      <c r="H199" s="241"/>
      <c r="I199" s="250"/>
      <c r="J199" s="251"/>
      <c r="K199" s="116" t="s">
        <v>223</v>
      </c>
      <c r="L199" s="112">
        <f t="shared" ref="L199:S199" si="113">L201+L308</f>
        <v>24995631</v>
      </c>
      <c r="M199" s="112">
        <f t="shared" si="113"/>
        <v>3317490.344415688</v>
      </c>
      <c r="N199" s="113">
        <f t="shared" si="113"/>
        <v>24086719</v>
      </c>
      <c r="O199" s="113">
        <f t="shared" si="113"/>
        <v>3196856.9911739328</v>
      </c>
      <c r="P199" s="114">
        <f t="shared" si="113"/>
        <v>5173379.5089256093</v>
      </c>
      <c r="Q199" s="114">
        <f t="shared" si="113"/>
        <v>4545820</v>
      </c>
      <c r="R199" s="88">
        <f t="shared" si="113"/>
        <v>4195513</v>
      </c>
      <c r="S199" s="90" t="e">
        <f t="shared" ca="1" si="113"/>
        <v>#NAME?</v>
      </c>
      <c r="T199" s="90"/>
      <c r="U199" s="90" t="e">
        <f t="shared" ca="1" si="111"/>
        <v>#NAME?</v>
      </c>
      <c r="V199" s="200">
        <f>V201+V308</f>
        <v>5310459.93</v>
      </c>
      <c r="W199" s="200">
        <f>W201+W308</f>
        <v>5310459.93</v>
      </c>
      <c r="X199" s="88">
        <f>X201+X308</f>
        <v>6991250</v>
      </c>
      <c r="Y199" s="171" t="e">
        <f ca="1">Y201+Y308</f>
        <v>#NAME?</v>
      </c>
      <c r="Z199" s="171"/>
      <c r="AA199" s="171" t="e">
        <f ca="1">AA201+AA308</f>
        <v>#NAME?</v>
      </c>
      <c r="AB199" s="171">
        <f>AB201+AB308</f>
        <v>4</v>
      </c>
      <c r="AC199" s="172">
        <f>AC201+AC308</f>
        <v>4224500</v>
      </c>
      <c r="AD199" s="172">
        <f>AD201+AD308</f>
        <v>4224500</v>
      </c>
      <c r="AE199" s="178">
        <f>O199/M199*100</f>
        <v>96.363716523099569</v>
      </c>
      <c r="AF199" s="178">
        <f>P199/O199*100</f>
        <v>161.82705461046817</v>
      </c>
      <c r="AG199" s="178">
        <f>Q199/P199*100</f>
        <v>87.869447662927428</v>
      </c>
      <c r="AH199" s="178">
        <f>AC199/Q199*100</f>
        <v>92.93152830512426</v>
      </c>
      <c r="AI199" s="171"/>
      <c r="AJ199" s="171">
        <v>6923250.2999999998</v>
      </c>
      <c r="AK199" s="171">
        <f>W199/R199*100</f>
        <v>126.57474616334163</v>
      </c>
      <c r="AL199" s="171">
        <f>X199/W199*100</f>
        <v>131.65055554802012</v>
      </c>
      <c r="AM199" s="171" t="e">
        <f ca="1">Y199/X199*100</f>
        <v>#NAME?</v>
      </c>
      <c r="AN199" s="90"/>
      <c r="AO199" s="193"/>
      <c r="AP199" s="193" t="e">
        <f t="shared" ca="1" si="112"/>
        <v>#NAME?</v>
      </c>
      <c r="AQ199" s="200">
        <f>AQ201+AQ308</f>
        <v>4746873.91</v>
      </c>
      <c r="AR199" s="204">
        <f>V199/R199*100</f>
        <v>126.57474616334163</v>
      </c>
      <c r="AS199" s="204">
        <f>W199/V199*100</f>
        <v>100</v>
      </c>
      <c r="AT199" s="204">
        <f>W199/R199*100</f>
        <v>126.57474616334163</v>
      </c>
      <c r="AU199" s="204">
        <f>AQ199/W199*100</f>
        <v>89.38724653930305</v>
      </c>
      <c r="AV199" s="204">
        <f>AQ199/W199*100</f>
        <v>89.38724653930305</v>
      </c>
    </row>
    <row r="200" spans="1:48" ht="12" customHeight="1">
      <c r="A200" s="53"/>
      <c r="B200" s="53"/>
      <c r="C200" s="53"/>
      <c r="D200" s="53"/>
      <c r="E200" s="53"/>
      <c r="F200" s="53"/>
      <c r="G200" s="53"/>
      <c r="H200" s="54"/>
      <c r="I200" s="117"/>
      <c r="J200" s="118"/>
      <c r="K200" s="18"/>
      <c r="L200" s="119"/>
      <c r="M200" s="119"/>
      <c r="N200" s="120"/>
      <c r="O200" s="120"/>
      <c r="P200" s="121"/>
      <c r="Q200" s="121"/>
      <c r="R200" s="157"/>
      <c r="S200" s="158"/>
      <c r="T200" s="158"/>
      <c r="U200" s="90" t="e">
        <f t="shared" ca="1" si="111"/>
        <v>#NAME?</v>
      </c>
      <c r="V200" s="200"/>
      <c r="W200" s="200"/>
      <c r="X200" s="159"/>
      <c r="Y200" s="179"/>
      <c r="Z200" s="179"/>
      <c r="AA200" s="179"/>
      <c r="AB200" s="179"/>
      <c r="AC200" s="180"/>
      <c r="AD200" s="180"/>
      <c r="AE200" s="178"/>
      <c r="AF200" s="178"/>
      <c r="AG200" s="178"/>
      <c r="AH200" s="178"/>
      <c r="AI200" s="179"/>
      <c r="AJ200" s="179"/>
      <c r="AK200" s="171"/>
      <c r="AL200" s="171"/>
      <c r="AM200" s="171"/>
      <c r="AN200" s="158"/>
      <c r="AO200" s="193"/>
      <c r="AP200" s="193" t="e">
        <f t="shared" ca="1" si="112"/>
        <v>#NAME?</v>
      </c>
      <c r="AQ200" s="200"/>
      <c r="AR200" s="204"/>
      <c r="AS200" s="204"/>
      <c r="AT200" s="204"/>
      <c r="AU200" s="204"/>
      <c r="AV200" s="204"/>
    </row>
    <row r="201" spans="1:48" ht="12" customHeight="1">
      <c r="A201" s="56"/>
      <c r="B201" s="56"/>
      <c r="C201" s="56"/>
      <c r="D201" s="56"/>
      <c r="E201" s="56"/>
      <c r="F201" s="56"/>
      <c r="G201" s="56"/>
      <c r="H201" s="57">
        <v>3</v>
      </c>
      <c r="I201" s="122"/>
      <c r="J201" s="123"/>
      <c r="K201" s="124" t="s">
        <v>224</v>
      </c>
      <c r="L201" s="112">
        <f t="shared" ref="L201:S201" si="114">L203+L216+L257+L268+L273+L282+L289</f>
        <v>20517207</v>
      </c>
      <c r="M201" s="112">
        <f t="shared" si="114"/>
        <v>2723101.3338642246</v>
      </c>
      <c r="N201" s="113">
        <f t="shared" si="114"/>
        <v>22082242</v>
      </c>
      <c r="O201" s="113">
        <f t="shared" si="114"/>
        <v>2930817.1743314085</v>
      </c>
      <c r="P201" s="114">
        <f t="shared" si="114"/>
        <v>3636679.5089256088</v>
      </c>
      <c r="Q201" s="114">
        <f t="shared" si="114"/>
        <v>3883760</v>
      </c>
      <c r="R201" s="88">
        <f t="shared" si="114"/>
        <v>3466709</v>
      </c>
      <c r="S201" s="90" t="e">
        <f t="shared" ca="1" si="114"/>
        <v>#NAME?</v>
      </c>
      <c r="T201" s="90"/>
      <c r="U201" s="90" t="e">
        <f t="shared" ca="1" si="111"/>
        <v>#NAME?</v>
      </c>
      <c r="V201" s="200">
        <f>V203+V216+V257+V268+V273+V282+V289</f>
        <v>4580459.93</v>
      </c>
      <c r="W201" s="200">
        <f>W203+W216+W257+W268+W273+W282+W289</f>
        <v>4579688.93</v>
      </c>
      <c r="X201" s="88">
        <f>X203+X216+X257+X268+X273+X282+X289</f>
        <v>5886750</v>
      </c>
      <c r="Y201" s="171" t="e">
        <f ca="1">Y203+Y216+Y257+Y268+Y273+Y282+Y289</f>
        <v>#NAME?</v>
      </c>
      <c r="Z201" s="171"/>
      <c r="AA201" s="171" t="e">
        <f ca="1">AA203+AA216+AA257+AA268+AA273+AA282+AA289</f>
        <v>#NAME?</v>
      </c>
      <c r="AB201" s="171">
        <f>AB203+AB216+AB257+AB268+AB273+AB282+AB289</f>
        <v>0</v>
      </c>
      <c r="AC201" s="172">
        <f>AC203+AC216+AC257+AC268+AC273+AC282+AC289</f>
        <v>3729400</v>
      </c>
      <c r="AD201" s="172">
        <f>AD203+AD216+AD257+AD268+AD273+AD282+AD289</f>
        <v>3729400</v>
      </c>
      <c r="AE201" s="178">
        <f>O201/M201*100</f>
        <v>107.62791446223649</v>
      </c>
      <c r="AF201" s="178">
        <f>P201/O201*100</f>
        <v>124.08414761508367</v>
      </c>
      <c r="AG201" s="178">
        <f>Q201/P201*100</f>
        <v>106.79412333333124</v>
      </c>
      <c r="AH201" s="178">
        <f>AC201/Q201*100</f>
        <v>96.025501060827651</v>
      </c>
      <c r="AI201" s="171"/>
      <c r="AJ201" s="171">
        <v>6011750</v>
      </c>
      <c r="AK201" s="171">
        <f>W201/R201*100</f>
        <v>132.10479823948302</v>
      </c>
      <c r="AL201" s="171">
        <f>X201/W201*100</f>
        <v>128.54038975088207</v>
      </c>
      <c r="AM201" s="171" t="e">
        <f ca="1">Y201/X201*100</f>
        <v>#NAME?</v>
      </c>
      <c r="AN201" s="90"/>
      <c r="AO201" s="193"/>
      <c r="AP201" s="193" t="e">
        <f t="shared" ca="1" si="112"/>
        <v>#NAME?</v>
      </c>
      <c r="AQ201" s="200">
        <f>AQ203+AQ216+AQ257+AQ268+AQ273+AQ282+AQ289</f>
        <v>4098086.93</v>
      </c>
      <c r="AR201" s="204">
        <f t="shared" ref="AR201:AR230" si="115">V201/R201*100</f>
        <v>132.12703835251241</v>
      </c>
      <c r="AS201" s="204">
        <f t="shared" ref="AS201:AS231" si="116">W201/V201*100</f>
        <v>99.983167629194824</v>
      </c>
      <c r="AT201" s="204">
        <f t="shared" ref="AT201:AT230" si="117">W201/R201*100</f>
        <v>132.10479823948302</v>
      </c>
      <c r="AU201" s="204">
        <f t="shared" ref="AU201:AU231" si="118">AQ201/W201*100</f>
        <v>89.483958247793055</v>
      </c>
      <c r="AV201" s="204">
        <f t="shared" ref="AV201:AV231" si="119">AQ201/W201*100</f>
        <v>89.483958247793055</v>
      </c>
    </row>
    <row r="202" spans="1:48" ht="12" customHeight="1">
      <c r="A202" s="53"/>
      <c r="B202" s="53"/>
      <c r="C202" s="53"/>
      <c r="D202" s="53"/>
      <c r="E202" s="53"/>
      <c r="F202" s="53"/>
      <c r="G202" s="53"/>
      <c r="H202" s="64"/>
      <c r="I202" s="117"/>
      <c r="J202" s="118"/>
      <c r="K202" s="18"/>
      <c r="L202" s="119"/>
      <c r="M202" s="119"/>
      <c r="N202" s="120"/>
      <c r="O202" s="120"/>
      <c r="P202" s="121"/>
      <c r="Q202" s="121"/>
      <c r="R202" s="157"/>
      <c r="S202" s="158"/>
      <c r="T202" s="158"/>
      <c r="U202" s="90" t="e">
        <f t="shared" ca="1" si="111"/>
        <v>#NAME?</v>
      </c>
      <c r="V202" s="200"/>
      <c r="W202" s="200"/>
      <c r="X202" s="159"/>
      <c r="Y202" s="179"/>
      <c r="Z202" s="179"/>
      <c r="AA202" s="179"/>
      <c r="AB202" s="179"/>
      <c r="AC202" s="180"/>
      <c r="AD202" s="180"/>
      <c r="AE202" s="178"/>
      <c r="AF202" s="178"/>
      <c r="AG202" s="178"/>
      <c r="AH202" s="178"/>
      <c r="AI202" s="179"/>
      <c r="AJ202" s="179"/>
      <c r="AK202" s="171"/>
      <c r="AL202" s="171"/>
      <c r="AM202" s="171"/>
      <c r="AN202" s="158"/>
      <c r="AO202" s="193"/>
      <c r="AP202" s="193" t="e">
        <f t="shared" ca="1" si="112"/>
        <v>#NAME?</v>
      </c>
      <c r="AQ202" s="200"/>
      <c r="AR202" s="204"/>
      <c r="AS202" s="204"/>
      <c r="AT202" s="204"/>
      <c r="AU202" s="204"/>
      <c r="AV202" s="204"/>
    </row>
    <row r="203" spans="1:48" ht="12" customHeight="1">
      <c r="A203" s="59"/>
      <c r="B203" s="59"/>
      <c r="C203" s="59"/>
      <c r="D203" s="59"/>
      <c r="E203" s="59"/>
      <c r="F203" s="59"/>
      <c r="G203" s="59"/>
      <c r="H203" s="60">
        <v>31</v>
      </c>
      <c r="I203" s="125"/>
      <c r="J203" s="126"/>
      <c r="K203" s="127" t="s">
        <v>225</v>
      </c>
      <c r="L203" s="112">
        <f t="shared" ref="L203:S203" si="120">L205+L209+L212</f>
        <v>5481241</v>
      </c>
      <c r="M203" s="112">
        <f t="shared" si="120"/>
        <v>727485.69911739335</v>
      </c>
      <c r="N203" s="113">
        <f t="shared" si="120"/>
        <v>5350745</v>
      </c>
      <c r="O203" s="113">
        <f t="shared" si="120"/>
        <v>710165.90351051826</v>
      </c>
      <c r="P203" s="114">
        <f t="shared" si="120"/>
        <v>935720</v>
      </c>
      <c r="Q203" s="114">
        <f t="shared" si="120"/>
        <v>855400</v>
      </c>
      <c r="R203" s="88">
        <f t="shared" si="120"/>
        <v>821430</v>
      </c>
      <c r="S203" s="90" t="e">
        <f t="shared" ca="1" si="120"/>
        <v>#NAME?</v>
      </c>
      <c r="T203" s="90"/>
      <c r="U203" s="90" t="e">
        <f t="shared" ca="1" si="111"/>
        <v>#NAME?</v>
      </c>
      <c r="V203" s="200">
        <f>V205+V209+V212</f>
        <v>1096650</v>
      </c>
      <c r="W203" s="200">
        <f>W205+W209+W212</f>
        <v>1088521</v>
      </c>
      <c r="X203" s="88">
        <f>X205+X209+X212</f>
        <v>1345400</v>
      </c>
      <c r="Y203" s="171">
        <f>Y205+Y209+Y212</f>
        <v>1081500.1000000001</v>
      </c>
      <c r="Z203" s="171"/>
      <c r="AA203" s="171" t="e">
        <f ca="1">AA205+AA209+AA212</f>
        <v>#NAME?</v>
      </c>
      <c r="AB203" s="171">
        <f>AB205+AB209+AB212</f>
        <v>0</v>
      </c>
      <c r="AC203" s="172">
        <f>AC205+AC209+AC212</f>
        <v>944150</v>
      </c>
      <c r="AD203" s="172">
        <f>AD205+AD209+AD212</f>
        <v>944150</v>
      </c>
      <c r="AE203" s="178">
        <f>O203/M203*100</f>
        <v>97.619225281282098</v>
      </c>
      <c r="AF203" s="178">
        <f>P203/O203*100</f>
        <v>131.76076116503404</v>
      </c>
      <c r="AG203" s="178">
        <f>Q203/P203*100</f>
        <v>91.416235626041981</v>
      </c>
      <c r="AH203" s="178">
        <f>AC203/Q203*100</f>
        <v>110.37526303483752</v>
      </c>
      <c r="AI203" s="171"/>
      <c r="AJ203" s="171">
        <v>1081500.1000000001</v>
      </c>
      <c r="AK203" s="171">
        <f>W203/R203*100</f>
        <v>132.51536953848776</v>
      </c>
      <c r="AL203" s="171">
        <f>X203/W203*100</f>
        <v>123.59890162890747</v>
      </c>
      <c r="AM203" s="171">
        <f>Y203/X203*100</f>
        <v>80.385023041474653</v>
      </c>
      <c r="AN203" s="90"/>
      <c r="AO203" s="193"/>
      <c r="AP203" s="193" t="e">
        <f t="shared" ca="1" si="112"/>
        <v>#NAME?</v>
      </c>
      <c r="AQ203" s="200">
        <f>AQ205+AQ209+AQ212</f>
        <v>992870.95</v>
      </c>
      <c r="AR203" s="204">
        <f t="shared" si="115"/>
        <v>133.50498520872139</v>
      </c>
      <c r="AS203" s="204">
        <f t="shared" si="116"/>
        <v>99.258742534081065</v>
      </c>
      <c r="AT203" s="204">
        <f t="shared" si="117"/>
        <v>132.51536953848776</v>
      </c>
      <c r="AU203" s="204">
        <f t="shared" si="118"/>
        <v>91.212842930912672</v>
      </c>
      <c r="AV203" s="204">
        <f t="shared" si="119"/>
        <v>91.212842930912672</v>
      </c>
    </row>
    <row r="204" spans="1:48" ht="12" customHeight="1">
      <c r="A204" s="53"/>
      <c r="B204" s="53"/>
      <c r="C204" s="53"/>
      <c r="D204" s="53"/>
      <c r="E204" s="53"/>
      <c r="F204" s="53"/>
      <c r="G204" s="53"/>
      <c r="H204" s="64"/>
      <c r="I204" s="117"/>
      <c r="J204" s="118"/>
      <c r="K204" s="18"/>
      <c r="L204" s="119"/>
      <c r="M204" s="119"/>
      <c r="N204" s="120"/>
      <c r="O204" s="120"/>
      <c r="P204" s="121"/>
      <c r="Q204" s="121"/>
      <c r="R204" s="157"/>
      <c r="S204" s="158"/>
      <c r="T204" s="158"/>
      <c r="U204" s="90" t="e">
        <f t="shared" ca="1" si="111"/>
        <v>#NAME?</v>
      </c>
      <c r="V204" s="200"/>
      <c r="W204" s="200"/>
      <c r="X204" s="159"/>
      <c r="Y204" s="179"/>
      <c r="Z204" s="179"/>
      <c r="AA204" s="179"/>
      <c r="AB204" s="179"/>
      <c r="AC204" s="180"/>
      <c r="AD204" s="180"/>
      <c r="AE204" s="178"/>
      <c r="AF204" s="178"/>
      <c r="AG204" s="178"/>
      <c r="AH204" s="178"/>
      <c r="AI204" s="179"/>
      <c r="AJ204" s="179"/>
      <c r="AK204" s="171"/>
      <c r="AL204" s="171"/>
      <c r="AM204" s="171"/>
      <c r="AN204" s="158"/>
      <c r="AO204" s="193"/>
      <c r="AP204" s="193" t="e">
        <f t="shared" ca="1" si="112"/>
        <v>#NAME?</v>
      </c>
      <c r="AQ204" s="200"/>
      <c r="AR204" s="204"/>
      <c r="AS204" s="204"/>
      <c r="AT204" s="204"/>
      <c r="AU204" s="204"/>
      <c r="AV204" s="204"/>
    </row>
    <row r="205" spans="1:48" ht="12" customHeight="1">
      <c r="A205" s="62"/>
      <c r="B205" s="62"/>
      <c r="C205" s="62"/>
      <c r="D205" s="62"/>
      <c r="E205" s="62"/>
      <c r="F205" s="62"/>
      <c r="G205" s="62"/>
      <c r="H205" s="63">
        <v>311</v>
      </c>
      <c r="I205" s="128"/>
      <c r="J205" s="129"/>
      <c r="K205" s="19" t="s">
        <v>226</v>
      </c>
      <c r="L205" s="112">
        <f t="shared" ref="L205:S205" si="121">L206+L207</f>
        <v>4577611</v>
      </c>
      <c r="M205" s="112">
        <f t="shared" si="121"/>
        <v>607553.38774968474</v>
      </c>
      <c r="N205" s="113">
        <f t="shared" si="121"/>
        <v>4462694</v>
      </c>
      <c r="O205" s="113">
        <f t="shared" si="121"/>
        <v>592301.28077510116</v>
      </c>
      <c r="P205" s="114">
        <f t="shared" si="121"/>
        <v>796600</v>
      </c>
      <c r="Q205" s="114">
        <f t="shared" si="121"/>
        <v>702500</v>
      </c>
      <c r="R205" s="88">
        <f t="shared" si="121"/>
        <v>687005</v>
      </c>
      <c r="S205" s="90" t="e">
        <f t="shared" ca="1" si="121"/>
        <v>#NAME?</v>
      </c>
      <c r="T205" s="90"/>
      <c r="U205" s="90" t="e">
        <f t="shared" ca="1" si="111"/>
        <v>#NAME?</v>
      </c>
      <c r="V205" s="200">
        <f>V206+V207</f>
        <v>912000</v>
      </c>
      <c r="W205" s="200">
        <f>W206+W207</f>
        <v>903871</v>
      </c>
      <c r="X205" s="88">
        <f>X206+X207</f>
        <v>1109000</v>
      </c>
      <c r="Y205" s="171">
        <f>Y206+Y207</f>
        <v>807000</v>
      </c>
      <c r="Z205" s="171"/>
      <c r="AA205" s="171" t="e">
        <f ca="1">AA206+AA207</f>
        <v>#NAME?</v>
      </c>
      <c r="AB205" s="171">
        <f>AB206+AB207</f>
        <v>0</v>
      </c>
      <c r="AC205" s="172">
        <f>AC206+AC207</f>
        <v>803700</v>
      </c>
      <c r="AD205" s="172">
        <f>AD206+AD207</f>
        <v>803700</v>
      </c>
      <c r="AE205" s="178">
        <f>O205/M205*100</f>
        <v>97.48958572495566</v>
      </c>
      <c r="AF205" s="178">
        <f t="shared" ref="AF205:AG207" si="122">P205/O205*100</f>
        <v>134.49236492576011</v>
      </c>
      <c r="AG205" s="178">
        <f t="shared" si="122"/>
        <v>88.187296008034139</v>
      </c>
      <c r="AH205" s="178">
        <f>AC205/Q205*100</f>
        <v>114.40569395017795</v>
      </c>
      <c r="AI205" s="171"/>
      <c r="AJ205" s="171">
        <v>807000</v>
      </c>
      <c r="AK205" s="171">
        <f>W205/R205*100</f>
        <v>131.56687360353999</v>
      </c>
      <c r="AL205" s="171">
        <f>X205/W205*100</f>
        <v>122.69449954694862</v>
      </c>
      <c r="AM205" s="171">
        <f>Y205/X205*100</f>
        <v>72.768259693417491</v>
      </c>
      <c r="AN205" s="90"/>
      <c r="AO205" s="193"/>
      <c r="AP205" s="193" t="e">
        <f t="shared" ca="1" si="112"/>
        <v>#NAME?</v>
      </c>
      <c r="AQ205" s="200">
        <f>AQ206+AQ207</f>
        <v>828203.63</v>
      </c>
      <c r="AR205" s="204">
        <f t="shared" si="115"/>
        <v>132.75012554493782</v>
      </c>
      <c r="AS205" s="204">
        <f t="shared" si="116"/>
        <v>99.108662280701751</v>
      </c>
      <c r="AT205" s="204">
        <f t="shared" si="117"/>
        <v>131.56687360353999</v>
      </c>
      <c r="AU205" s="204">
        <f t="shared" si="118"/>
        <v>91.628521105334727</v>
      </c>
      <c r="AV205" s="204">
        <f t="shared" si="119"/>
        <v>91.628521105334727</v>
      </c>
    </row>
    <row r="206" spans="1:48" ht="12" customHeight="1">
      <c r="A206" s="53"/>
      <c r="B206" s="53"/>
      <c r="C206" s="53"/>
      <c r="D206" s="53"/>
      <c r="E206" s="53"/>
      <c r="F206" s="53"/>
      <c r="G206" s="53"/>
      <c r="H206" s="64">
        <v>3111</v>
      </c>
      <c r="I206" s="117"/>
      <c r="J206" s="118"/>
      <c r="K206" s="18" t="s">
        <v>227</v>
      </c>
      <c r="L206" s="130">
        <f t="shared" ref="L206:S206" si="123">L364+L366+L990+L1072+L1135</f>
        <v>4554160</v>
      </c>
      <c r="M206" s="130">
        <f t="shared" si="123"/>
        <v>604440.90516955336</v>
      </c>
      <c r="N206" s="131">
        <f t="shared" si="123"/>
        <v>4462694</v>
      </c>
      <c r="O206" s="131">
        <f t="shared" si="123"/>
        <v>592301.28077510116</v>
      </c>
      <c r="P206" s="132">
        <f t="shared" si="123"/>
        <v>793900</v>
      </c>
      <c r="Q206" s="132">
        <f t="shared" si="123"/>
        <v>699800</v>
      </c>
      <c r="R206" s="159">
        <f t="shared" si="123"/>
        <v>687005</v>
      </c>
      <c r="S206" s="165" t="e">
        <f t="shared" ca="1" si="123"/>
        <v>#NAME?</v>
      </c>
      <c r="T206" s="165"/>
      <c r="U206" s="90" t="e">
        <f t="shared" ca="1" si="111"/>
        <v>#NAME?</v>
      </c>
      <c r="V206" s="200">
        <f>V364+V366+V990+V1072+V1135</f>
        <v>912000</v>
      </c>
      <c r="W206" s="200">
        <f>W364+W366+W990+W1072+W1135</f>
        <v>903871</v>
      </c>
      <c r="X206" s="159">
        <f t="shared" ref="X206:AD206" si="124">X364+X366+X990+X1072+X1135</f>
        <v>1104000</v>
      </c>
      <c r="Y206" s="183">
        <f t="shared" si="124"/>
        <v>802000</v>
      </c>
      <c r="Z206" s="183"/>
      <c r="AA206" s="183" t="e">
        <f t="shared" ca="1" si="124"/>
        <v>#NAME?</v>
      </c>
      <c r="AB206" s="183">
        <f t="shared" si="124"/>
        <v>0</v>
      </c>
      <c r="AC206" s="178">
        <f t="shared" si="124"/>
        <v>801000</v>
      </c>
      <c r="AD206" s="178">
        <f t="shared" si="124"/>
        <v>801000</v>
      </c>
      <c r="AE206" s="178">
        <f>O206/M206*100</f>
        <v>97.991594498217012</v>
      </c>
      <c r="AF206" s="178">
        <f t="shared" si="122"/>
        <v>134.03651583550206</v>
      </c>
      <c r="AG206" s="178">
        <f t="shared" si="122"/>
        <v>88.14712180375362</v>
      </c>
      <c r="AH206" s="178">
        <f>AC206/Q206*100</f>
        <v>114.46127464989996</v>
      </c>
      <c r="AI206" s="183"/>
      <c r="AJ206" s="183">
        <v>802000</v>
      </c>
      <c r="AK206" s="171">
        <f>W206/R206*100</f>
        <v>131.56687360353999</v>
      </c>
      <c r="AL206" s="171">
        <f>X206/W206*100</f>
        <v>122.14132326404984</v>
      </c>
      <c r="AM206" s="171">
        <f>Y206/X206*100</f>
        <v>72.64492753623189</v>
      </c>
      <c r="AN206" s="165"/>
      <c r="AO206" s="193"/>
      <c r="AP206" s="193" t="e">
        <f t="shared" ca="1" si="112"/>
        <v>#NAME?</v>
      </c>
      <c r="AQ206" s="200">
        <f>AQ364+AQ366+AQ990+AQ1072+AQ1135</f>
        <v>828203.63</v>
      </c>
      <c r="AR206" s="204">
        <f t="shared" si="115"/>
        <v>132.75012554493782</v>
      </c>
      <c r="AS206" s="204">
        <f t="shared" si="116"/>
        <v>99.108662280701751</v>
      </c>
      <c r="AT206" s="204">
        <f t="shared" si="117"/>
        <v>131.56687360353999</v>
      </c>
      <c r="AU206" s="204">
        <f t="shared" si="118"/>
        <v>91.628521105334727</v>
      </c>
      <c r="AV206" s="204">
        <f t="shared" si="119"/>
        <v>91.628521105334727</v>
      </c>
    </row>
    <row r="207" spans="1:48" ht="12" customHeight="1">
      <c r="A207" s="53"/>
      <c r="B207" s="53"/>
      <c r="C207" s="53"/>
      <c r="D207" s="53"/>
      <c r="E207" s="53"/>
      <c r="F207" s="53"/>
      <c r="G207" s="53"/>
      <c r="H207" s="64">
        <v>3113</v>
      </c>
      <c r="I207" s="117"/>
      <c r="J207" s="118"/>
      <c r="K207" s="18" t="s">
        <v>228</v>
      </c>
      <c r="L207" s="130">
        <f t="shared" ref="L207:S207" si="125">L365</f>
        <v>23451</v>
      </c>
      <c r="M207" s="130">
        <f t="shared" si="125"/>
        <v>3112.4825801313955</v>
      </c>
      <c r="N207" s="131">
        <f t="shared" si="125"/>
        <v>0</v>
      </c>
      <c r="O207" s="131">
        <f t="shared" si="125"/>
        <v>0</v>
      </c>
      <c r="P207" s="132">
        <f t="shared" si="125"/>
        <v>2700</v>
      </c>
      <c r="Q207" s="132">
        <f t="shared" si="125"/>
        <v>2700</v>
      </c>
      <c r="R207" s="159">
        <f t="shared" si="125"/>
        <v>0</v>
      </c>
      <c r="S207" s="165" t="e">
        <f t="shared" ca="1" si="125"/>
        <v>#NAME?</v>
      </c>
      <c r="T207" s="165"/>
      <c r="U207" s="90" t="e">
        <f t="shared" ca="1" si="111"/>
        <v>#NAME?</v>
      </c>
      <c r="V207" s="200">
        <f>V365</f>
        <v>0</v>
      </c>
      <c r="W207" s="200">
        <f>W365</f>
        <v>0</v>
      </c>
      <c r="X207" s="159">
        <f>X365</f>
        <v>5000</v>
      </c>
      <c r="Y207" s="183">
        <f>Y365</f>
        <v>5000</v>
      </c>
      <c r="Z207" s="183"/>
      <c r="AA207" s="183" t="e">
        <f ca="1">AA365</f>
        <v>#NAME?</v>
      </c>
      <c r="AB207" s="183">
        <f>AB365</f>
        <v>0</v>
      </c>
      <c r="AC207" s="178">
        <f>AC365</f>
        <v>2700</v>
      </c>
      <c r="AD207" s="178">
        <f>AD365</f>
        <v>2700</v>
      </c>
      <c r="AE207" s="178">
        <f>O207/M207*100</f>
        <v>0</v>
      </c>
      <c r="AF207" s="178" t="e">
        <f t="shared" si="122"/>
        <v>#DIV/0!</v>
      </c>
      <c r="AG207" s="178">
        <f t="shared" si="122"/>
        <v>100</v>
      </c>
      <c r="AH207" s="178">
        <f>AC207/Q207*100</f>
        <v>100</v>
      </c>
      <c r="AI207" s="183"/>
      <c r="AJ207" s="183">
        <v>5000</v>
      </c>
      <c r="AK207" s="171"/>
      <c r="AL207" s="171"/>
      <c r="AM207" s="171">
        <f>Y207/X207*100</f>
        <v>100</v>
      </c>
      <c r="AN207" s="165"/>
      <c r="AO207" s="193"/>
      <c r="AP207" s="193" t="e">
        <f t="shared" ca="1" si="112"/>
        <v>#NAME?</v>
      </c>
      <c r="AQ207" s="200">
        <f>AQ365</f>
        <v>0</v>
      </c>
      <c r="AR207" s="204"/>
      <c r="AS207" s="204"/>
      <c r="AT207" s="204"/>
      <c r="AU207" s="204"/>
      <c r="AV207" s="204"/>
    </row>
    <row r="208" spans="1:48" ht="12" customHeight="1">
      <c r="A208" s="42"/>
      <c r="B208" s="42"/>
      <c r="C208" s="42"/>
      <c r="D208" s="42"/>
      <c r="E208" s="42"/>
      <c r="F208" s="42"/>
      <c r="G208" s="42"/>
      <c r="H208" s="38"/>
      <c r="I208" s="73"/>
      <c r="J208" s="91"/>
      <c r="K208" s="84"/>
      <c r="L208" s="85">
        <v>1</v>
      </c>
      <c r="M208" s="85">
        <v>2</v>
      </c>
      <c r="N208" s="86">
        <v>3</v>
      </c>
      <c r="O208" s="86">
        <v>4</v>
      </c>
      <c r="P208" s="87">
        <v>5</v>
      </c>
      <c r="Q208" s="87">
        <v>6</v>
      </c>
      <c r="R208" s="160"/>
      <c r="S208" s="161"/>
      <c r="T208" s="161"/>
      <c r="U208" s="90" t="e">
        <f t="shared" ca="1" si="111"/>
        <v>#NAME?</v>
      </c>
      <c r="V208" s="200"/>
      <c r="W208" s="200"/>
      <c r="X208" s="162"/>
      <c r="Y208" s="181"/>
      <c r="Z208" s="181"/>
      <c r="AA208" s="181"/>
      <c r="AB208" s="181"/>
      <c r="AC208" s="182">
        <v>7</v>
      </c>
      <c r="AD208" s="182">
        <v>8</v>
      </c>
      <c r="AE208" s="182">
        <v>9</v>
      </c>
      <c r="AF208" s="182">
        <v>10</v>
      </c>
      <c r="AG208" s="182">
        <v>11</v>
      </c>
      <c r="AH208" s="182">
        <v>12</v>
      </c>
      <c r="AI208" s="181"/>
      <c r="AJ208" s="181"/>
      <c r="AK208" s="171"/>
      <c r="AL208" s="171"/>
      <c r="AM208" s="171"/>
      <c r="AN208" s="161"/>
      <c r="AO208" s="193"/>
      <c r="AP208" s="193" t="e">
        <f t="shared" ca="1" si="112"/>
        <v>#NAME?</v>
      </c>
      <c r="AQ208" s="200"/>
      <c r="AR208" s="204"/>
      <c r="AS208" s="204"/>
      <c r="AT208" s="204"/>
      <c r="AU208" s="204"/>
      <c r="AV208" s="204"/>
    </row>
    <row r="209" spans="1:48" ht="12" customHeight="1">
      <c r="A209" s="62"/>
      <c r="B209" s="62"/>
      <c r="C209" s="62"/>
      <c r="D209" s="62"/>
      <c r="E209" s="62"/>
      <c r="F209" s="62"/>
      <c r="G209" s="62"/>
      <c r="H209" s="63">
        <v>312</v>
      </c>
      <c r="I209" s="128"/>
      <c r="J209" s="129"/>
      <c r="K209" s="19" t="s">
        <v>229</v>
      </c>
      <c r="L209" s="112">
        <f t="shared" ref="L209:AD209" si="126">L210</f>
        <v>133654</v>
      </c>
      <c r="M209" s="112">
        <f t="shared" si="126"/>
        <v>17738.934235848432</v>
      </c>
      <c r="N209" s="113">
        <f t="shared" si="126"/>
        <v>171000</v>
      </c>
      <c r="O209" s="113">
        <f t="shared" si="126"/>
        <v>22695.600238901057</v>
      </c>
      <c r="P209" s="114">
        <f t="shared" si="126"/>
        <v>24900</v>
      </c>
      <c r="Q209" s="114">
        <f t="shared" si="126"/>
        <v>35200</v>
      </c>
      <c r="R209" s="88">
        <f t="shared" si="126"/>
        <v>25216</v>
      </c>
      <c r="S209" s="90" t="e">
        <f t="shared" ca="1" si="126"/>
        <v>#NAME?</v>
      </c>
      <c r="T209" s="90"/>
      <c r="U209" s="90" t="e">
        <f t="shared" ca="1" si="111"/>
        <v>#NAME?</v>
      </c>
      <c r="V209" s="200">
        <f>V210</f>
        <v>30900</v>
      </c>
      <c r="W209" s="200">
        <f t="shared" si="126"/>
        <v>30900</v>
      </c>
      <c r="X209" s="88">
        <f t="shared" si="126"/>
        <v>45500</v>
      </c>
      <c r="Y209" s="171">
        <f t="shared" si="126"/>
        <v>57500.1</v>
      </c>
      <c r="Z209" s="171"/>
      <c r="AA209" s="171" t="e">
        <f t="shared" ca="1" si="126"/>
        <v>#NAME?</v>
      </c>
      <c r="AB209" s="171">
        <f t="shared" si="126"/>
        <v>0</v>
      </c>
      <c r="AC209" s="172">
        <f t="shared" si="126"/>
        <v>25100</v>
      </c>
      <c r="AD209" s="172">
        <f t="shared" si="126"/>
        <v>25100</v>
      </c>
      <c r="AE209" s="178">
        <f>O209/M209*100</f>
        <v>127.94229877145465</v>
      </c>
      <c r="AF209" s="178">
        <f>P209/O209*100</f>
        <v>109.71289473684209</v>
      </c>
      <c r="AG209" s="178">
        <f>Q209/P209*100</f>
        <v>141.36546184738955</v>
      </c>
      <c r="AH209" s="178">
        <f>AC209/Q209*100</f>
        <v>71.306818181818173</v>
      </c>
      <c r="AI209" s="171"/>
      <c r="AJ209" s="171">
        <v>57500.1</v>
      </c>
      <c r="AK209" s="171">
        <f>W209/R209*100</f>
        <v>122.54124365482232</v>
      </c>
      <c r="AL209" s="171">
        <f>X209/W209*100</f>
        <v>147.24919093851133</v>
      </c>
      <c r="AM209" s="171">
        <f>Y209/X209*100</f>
        <v>126.37384615384615</v>
      </c>
      <c r="AN209" s="90"/>
      <c r="AO209" s="193"/>
      <c r="AP209" s="193" t="e">
        <f t="shared" ca="1" si="112"/>
        <v>#NAME?</v>
      </c>
      <c r="AQ209" s="200">
        <f>AQ210</f>
        <v>26020.309999999998</v>
      </c>
      <c r="AR209" s="204">
        <f t="shared" si="115"/>
        <v>122.54124365482232</v>
      </c>
      <c r="AS209" s="204">
        <f t="shared" si="116"/>
        <v>100</v>
      </c>
      <c r="AT209" s="204">
        <f t="shared" si="117"/>
        <v>122.54124365482232</v>
      </c>
      <c r="AU209" s="204">
        <f t="shared" si="118"/>
        <v>84.208122977346264</v>
      </c>
      <c r="AV209" s="204">
        <f t="shared" si="119"/>
        <v>84.208122977346264</v>
      </c>
    </row>
    <row r="210" spans="1:48" ht="12" customHeight="1">
      <c r="A210" s="53"/>
      <c r="B210" s="53"/>
      <c r="C210" s="53"/>
      <c r="D210" s="53"/>
      <c r="E210" s="53"/>
      <c r="F210" s="53"/>
      <c r="G210" s="53"/>
      <c r="H210" s="64">
        <v>3121</v>
      </c>
      <c r="I210" s="117"/>
      <c r="J210" s="118"/>
      <c r="K210" s="18" t="s">
        <v>229</v>
      </c>
      <c r="L210" s="130">
        <f t="shared" ref="L210:S210" si="127">L369+L370+L993+L1075+L1138</f>
        <v>133654</v>
      </c>
      <c r="M210" s="130">
        <f t="shared" si="127"/>
        <v>17738.934235848432</v>
      </c>
      <c r="N210" s="131">
        <f t="shared" si="127"/>
        <v>171000</v>
      </c>
      <c r="O210" s="131">
        <f t="shared" si="127"/>
        <v>22695.600238901057</v>
      </c>
      <c r="P210" s="132">
        <f t="shared" si="127"/>
        <v>24900</v>
      </c>
      <c r="Q210" s="132">
        <f t="shared" si="127"/>
        <v>35200</v>
      </c>
      <c r="R210" s="159">
        <f t="shared" si="127"/>
        <v>25216</v>
      </c>
      <c r="S210" s="165" t="e">
        <f t="shared" ca="1" si="127"/>
        <v>#NAME?</v>
      </c>
      <c r="T210" s="165"/>
      <c r="U210" s="90" t="e">
        <f t="shared" ca="1" si="111"/>
        <v>#NAME?</v>
      </c>
      <c r="V210" s="200">
        <f>V369+V370+V993+V1075+V1138</f>
        <v>30900</v>
      </c>
      <c r="W210" s="200">
        <f>W369+W370+W993+W1075+W1138</f>
        <v>30900</v>
      </c>
      <c r="X210" s="159">
        <f t="shared" ref="X210:AD210" si="128">X369+X370+X993+X1075+X1138</f>
        <v>45500</v>
      </c>
      <c r="Y210" s="183">
        <f t="shared" si="128"/>
        <v>57500.1</v>
      </c>
      <c r="Z210" s="183"/>
      <c r="AA210" s="183" t="e">
        <f t="shared" ca="1" si="128"/>
        <v>#NAME?</v>
      </c>
      <c r="AB210" s="183">
        <f t="shared" si="128"/>
        <v>0</v>
      </c>
      <c r="AC210" s="178">
        <f t="shared" si="128"/>
        <v>25100</v>
      </c>
      <c r="AD210" s="178">
        <f t="shared" si="128"/>
        <v>25100</v>
      </c>
      <c r="AE210" s="178">
        <f>O210/M210*100</f>
        <v>127.94229877145465</v>
      </c>
      <c r="AF210" s="178">
        <f>P210/O210*100</f>
        <v>109.71289473684209</v>
      </c>
      <c r="AG210" s="178">
        <f>Q210/P210*100</f>
        <v>141.36546184738955</v>
      </c>
      <c r="AH210" s="178">
        <f>AC210/Q210*100</f>
        <v>71.306818181818173</v>
      </c>
      <c r="AI210" s="183"/>
      <c r="AJ210" s="183">
        <v>57500.1</v>
      </c>
      <c r="AK210" s="171">
        <f>W210/R210*100</f>
        <v>122.54124365482232</v>
      </c>
      <c r="AL210" s="171">
        <f>X210/W210*100</f>
        <v>147.24919093851133</v>
      </c>
      <c r="AM210" s="171">
        <f>Y210/X210*100</f>
        <v>126.37384615384615</v>
      </c>
      <c r="AN210" s="165"/>
      <c r="AO210" s="193"/>
      <c r="AP210" s="193" t="e">
        <f t="shared" ca="1" si="112"/>
        <v>#NAME?</v>
      </c>
      <c r="AQ210" s="200">
        <f>AQ369+AQ370+AQ993+AQ1075+AQ1138</f>
        <v>26020.309999999998</v>
      </c>
      <c r="AR210" s="204">
        <f t="shared" si="115"/>
        <v>122.54124365482232</v>
      </c>
      <c r="AS210" s="204">
        <f t="shared" si="116"/>
        <v>100</v>
      </c>
      <c r="AT210" s="204">
        <f t="shared" si="117"/>
        <v>122.54124365482232</v>
      </c>
      <c r="AU210" s="204">
        <f t="shared" si="118"/>
        <v>84.208122977346264</v>
      </c>
      <c r="AV210" s="204">
        <f t="shared" si="119"/>
        <v>84.208122977346264</v>
      </c>
    </row>
    <row r="211" spans="1:48" ht="12" customHeight="1">
      <c r="A211" s="53"/>
      <c r="B211" s="53"/>
      <c r="C211" s="53"/>
      <c r="D211" s="53"/>
      <c r="E211" s="53"/>
      <c r="F211" s="53"/>
      <c r="G211" s="53"/>
      <c r="H211" s="64"/>
      <c r="I211" s="117"/>
      <c r="J211" s="118"/>
      <c r="K211" s="18"/>
      <c r="L211" s="119"/>
      <c r="M211" s="119"/>
      <c r="N211" s="120"/>
      <c r="O211" s="120"/>
      <c r="P211" s="121"/>
      <c r="Q211" s="121"/>
      <c r="R211" s="157"/>
      <c r="S211" s="158"/>
      <c r="T211" s="158"/>
      <c r="U211" s="90" t="e">
        <f t="shared" ca="1" si="111"/>
        <v>#NAME?</v>
      </c>
      <c r="V211" s="200"/>
      <c r="W211" s="200"/>
      <c r="X211" s="159"/>
      <c r="Y211" s="179"/>
      <c r="Z211" s="179"/>
      <c r="AA211" s="179"/>
      <c r="AB211" s="179"/>
      <c r="AC211" s="180"/>
      <c r="AD211" s="180"/>
      <c r="AE211" s="178"/>
      <c r="AF211" s="178"/>
      <c r="AG211" s="178"/>
      <c r="AH211" s="178"/>
      <c r="AI211" s="179"/>
      <c r="AJ211" s="179"/>
      <c r="AK211" s="171"/>
      <c r="AL211" s="171"/>
      <c r="AM211" s="171"/>
      <c r="AN211" s="158"/>
      <c r="AO211" s="193"/>
      <c r="AP211" s="193" t="e">
        <f t="shared" ca="1" si="112"/>
        <v>#NAME?</v>
      </c>
      <c r="AQ211" s="200"/>
      <c r="AR211" s="204"/>
      <c r="AS211" s="204"/>
      <c r="AT211" s="204"/>
      <c r="AU211" s="204"/>
      <c r="AV211" s="204"/>
    </row>
    <row r="212" spans="1:48" ht="12" customHeight="1">
      <c r="A212" s="62"/>
      <c r="B212" s="62"/>
      <c r="C212" s="62"/>
      <c r="D212" s="62"/>
      <c r="E212" s="62"/>
      <c r="F212" s="62"/>
      <c r="G212" s="62"/>
      <c r="H212" s="63">
        <v>313</v>
      </c>
      <c r="I212" s="128"/>
      <c r="J212" s="129"/>
      <c r="K212" s="19" t="s">
        <v>230</v>
      </c>
      <c r="L212" s="112">
        <f t="shared" ref="L212:S212" si="129">L213+L214</f>
        <v>769976</v>
      </c>
      <c r="M212" s="112">
        <f t="shared" si="129"/>
        <v>102193.37713186011</v>
      </c>
      <c r="N212" s="113">
        <f t="shared" si="129"/>
        <v>717051</v>
      </c>
      <c r="O212" s="113">
        <f t="shared" si="129"/>
        <v>95169.022496516016</v>
      </c>
      <c r="P212" s="114">
        <f t="shared" si="129"/>
        <v>114220</v>
      </c>
      <c r="Q212" s="114">
        <f t="shared" si="129"/>
        <v>117700</v>
      </c>
      <c r="R212" s="88">
        <f t="shared" si="129"/>
        <v>109209</v>
      </c>
      <c r="S212" s="90" t="e">
        <f t="shared" ca="1" si="129"/>
        <v>#NAME?</v>
      </c>
      <c r="T212" s="90"/>
      <c r="U212" s="90" t="e">
        <f t="shared" ca="1" si="111"/>
        <v>#NAME?</v>
      </c>
      <c r="V212" s="200">
        <f>V213+V214</f>
        <v>153750</v>
      </c>
      <c r="W212" s="200">
        <f>W213+W214</f>
        <v>153750</v>
      </c>
      <c r="X212" s="88">
        <f>X213+X214</f>
        <v>190900</v>
      </c>
      <c r="Y212" s="171">
        <f>Y213+Y214</f>
        <v>217000</v>
      </c>
      <c r="Z212" s="171"/>
      <c r="AA212" s="171" t="e">
        <f ca="1">AA213+AA214</f>
        <v>#NAME?</v>
      </c>
      <c r="AB212" s="171">
        <f>AB213+AB214</f>
        <v>0</v>
      </c>
      <c r="AC212" s="172">
        <f>AC213+AC214</f>
        <v>115350</v>
      </c>
      <c r="AD212" s="172">
        <f>AD213+AD214</f>
        <v>115350</v>
      </c>
      <c r="AE212" s="178">
        <f>O212/M212*100</f>
        <v>93.126409134830169</v>
      </c>
      <c r="AF212" s="178">
        <f t="shared" ref="AF212:AG214" si="130">P212/O212*100</f>
        <v>120.01804474158743</v>
      </c>
      <c r="AG212" s="178">
        <f t="shared" si="130"/>
        <v>103.04675188233234</v>
      </c>
      <c r="AH212" s="178">
        <f>AC212/Q212*100</f>
        <v>98.003398470688182</v>
      </c>
      <c r="AI212" s="171"/>
      <c r="AJ212" s="171">
        <v>217000</v>
      </c>
      <c r="AK212" s="171">
        <f>W212/R212*100</f>
        <v>140.78510012911022</v>
      </c>
      <c r="AL212" s="171">
        <f>X212/W212*100</f>
        <v>124.16260162601627</v>
      </c>
      <c r="AM212" s="171">
        <f>Y212/X212*100</f>
        <v>113.67207962283918</v>
      </c>
      <c r="AN212" s="90"/>
      <c r="AO212" s="193"/>
      <c r="AP212" s="193" t="e">
        <f t="shared" ca="1" si="112"/>
        <v>#NAME?</v>
      </c>
      <c r="AQ212" s="200">
        <f>AQ213+AQ214</f>
        <v>138647.01</v>
      </c>
      <c r="AR212" s="204">
        <f t="shared" si="115"/>
        <v>140.78510012911022</v>
      </c>
      <c r="AS212" s="204">
        <f t="shared" si="116"/>
        <v>100</v>
      </c>
      <c r="AT212" s="204">
        <f t="shared" si="117"/>
        <v>140.78510012911022</v>
      </c>
      <c r="AU212" s="204">
        <f t="shared" si="118"/>
        <v>90.176917073170742</v>
      </c>
      <c r="AV212" s="204">
        <f t="shared" si="119"/>
        <v>90.176917073170742</v>
      </c>
    </row>
    <row r="213" spans="1:48" ht="12" customHeight="1">
      <c r="A213" s="53"/>
      <c r="B213" s="53"/>
      <c r="C213" s="53"/>
      <c r="D213" s="53"/>
      <c r="E213" s="53"/>
      <c r="F213" s="53"/>
      <c r="G213" s="53"/>
      <c r="H213" s="64">
        <v>3132</v>
      </c>
      <c r="I213" s="117"/>
      <c r="J213" s="118"/>
      <c r="K213" s="18" t="s">
        <v>231</v>
      </c>
      <c r="L213" s="130">
        <f t="shared" ref="L213:S214" si="131">L373+L375+L997+L1078+L1141</f>
        <v>754788</v>
      </c>
      <c r="M213" s="130">
        <f t="shared" si="131"/>
        <v>100177.58311765877</v>
      </c>
      <c r="N213" s="131">
        <f t="shared" si="131"/>
        <v>702989</v>
      </c>
      <c r="O213" s="131">
        <f t="shared" si="131"/>
        <v>93302.674364589548</v>
      </c>
      <c r="P213" s="132">
        <f t="shared" si="131"/>
        <v>112120</v>
      </c>
      <c r="Q213" s="132">
        <f t="shared" si="131"/>
        <v>116100</v>
      </c>
      <c r="R213" s="159">
        <f t="shared" si="131"/>
        <v>107762</v>
      </c>
      <c r="S213" s="165" t="e">
        <f t="shared" ca="1" si="131"/>
        <v>#NAME?</v>
      </c>
      <c r="T213" s="165"/>
      <c r="U213" s="90" t="e">
        <f t="shared" ca="1" si="111"/>
        <v>#NAME?</v>
      </c>
      <c r="V213" s="200">
        <f>V373+V375+V997+V1078+V1141</f>
        <v>150750</v>
      </c>
      <c r="W213" s="200">
        <f t="shared" ref="W213:Y214" si="132">W373+W375+W997+W1078+W1141</f>
        <v>150750</v>
      </c>
      <c r="X213" s="159">
        <f t="shared" si="132"/>
        <v>188800</v>
      </c>
      <c r="Y213" s="183">
        <f t="shared" si="132"/>
        <v>214900</v>
      </c>
      <c r="Z213" s="183"/>
      <c r="AA213" s="183" t="e">
        <f t="shared" ref="AA213:AD214" ca="1" si="133">AA373+AA375+AA997+AA1078+AA1141</f>
        <v>#NAME?</v>
      </c>
      <c r="AB213" s="183">
        <f t="shared" si="133"/>
        <v>0</v>
      </c>
      <c r="AC213" s="178">
        <f t="shared" si="133"/>
        <v>113250</v>
      </c>
      <c r="AD213" s="178">
        <f t="shared" si="133"/>
        <v>113250</v>
      </c>
      <c r="AE213" s="178">
        <f>O213/M213*100</f>
        <v>93.137278282113641</v>
      </c>
      <c r="AF213" s="178">
        <f t="shared" si="130"/>
        <v>120.16804530369609</v>
      </c>
      <c r="AG213" s="178">
        <f t="shared" si="130"/>
        <v>103.54976810560115</v>
      </c>
      <c r="AH213" s="178">
        <f>AC213/Q213*100</f>
        <v>97.545219638242898</v>
      </c>
      <c r="AI213" s="183"/>
      <c r="AJ213" s="183">
        <v>214900</v>
      </c>
      <c r="AK213" s="171">
        <f t="shared" ref="AK213:AK273" si="134">W213/R213*100</f>
        <v>139.89161299901636</v>
      </c>
      <c r="AL213" s="171">
        <f t="shared" ref="AL213:AM273" si="135">X213/W213*100</f>
        <v>125.24046434494196</v>
      </c>
      <c r="AM213" s="171">
        <f t="shared" si="135"/>
        <v>113.82415254237289</v>
      </c>
      <c r="AN213" s="165"/>
      <c r="AO213" s="193"/>
      <c r="AP213" s="193" t="e">
        <f t="shared" ca="1" si="112"/>
        <v>#NAME?</v>
      </c>
      <c r="AQ213" s="200">
        <f>AQ373+AQ375+AQ997+AQ1078+AQ1141</f>
        <v>136659.01</v>
      </c>
      <c r="AR213" s="204">
        <f t="shared" si="115"/>
        <v>139.89161299901636</v>
      </c>
      <c r="AS213" s="204">
        <f t="shared" si="116"/>
        <v>100</v>
      </c>
      <c r="AT213" s="204">
        <f t="shared" si="117"/>
        <v>139.89161299901636</v>
      </c>
      <c r="AU213" s="204">
        <f t="shared" si="118"/>
        <v>90.652742951907143</v>
      </c>
      <c r="AV213" s="204">
        <f t="shared" si="119"/>
        <v>90.652742951907143</v>
      </c>
    </row>
    <row r="214" spans="1:48" ht="12" customHeight="1">
      <c r="A214" s="53"/>
      <c r="B214" s="53"/>
      <c r="C214" s="53"/>
      <c r="D214" s="53"/>
      <c r="E214" s="53"/>
      <c r="F214" s="53"/>
      <c r="G214" s="53"/>
      <c r="H214" s="64">
        <v>3133</v>
      </c>
      <c r="I214" s="117"/>
      <c r="J214" s="118"/>
      <c r="K214" s="18" t="s">
        <v>232</v>
      </c>
      <c r="L214" s="130">
        <f t="shared" si="131"/>
        <v>15188</v>
      </c>
      <c r="M214" s="130">
        <f t="shared" si="131"/>
        <v>2015.7940142013404</v>
      </c>
      <c r="N214" s="131">
        <f t="shared" si="131"/>
        <v>14062</v>
      </c>
      <c r="O214" s="131">
        <f t="shared" si="131"/>
        <v>1866.3481319264715</v>
      </c>
      <c r="P214" s="132">
        <f t="shared" si="131"/>
        <v>2100</v>
      </c>
      <c r="Q214" s="132">
        <f t="shared" si="131"/>
        <v>1600</v>
      </c>
      <c r="R214" s="159">
        <f t="shared" si="131"/>
        <v>1447</v>
      </c>
      <c r="S214" s="165" t="e">
        <f t="shared" ca="1" si="131"/>
        <v>#NAME?</v>
      </c>
      <c r="T214" s="165"/>
      <c r="U214" s="90" t="e">
        <f t="shared" ca="1" si="111"/>
        <v>#NAME?</v>
      </c>
      <c r="V214" s="200">
        <f>V374+V376+V998+V1079+V1142</f>
        <v>3000</v>
      </c>
      <c r="W214" s="200">
        <f t="shared" si="132"/>
        <v>3000</v>
      </c>
      <c r="X214" s="159">
        <f t="shared" si="132"/>
        <v>2100</v>
      </c>
      <c r="Y214" s="183">
        <f t="shared" si="132"/>
        <v>2100</v>
      </c>
      <c r="Z214" s="183"/>
      <c r="AA214" s="183" t="e">
        <f t="shared" ca="1" si="133"/>
        <v>#NAME?</v>
      </c>
      <c r="AB214" s="183">
        <f t="shared" si="133"/>
        <v>0</v>
      </c>
      <c r="AC214" s="178">
        <f t="shared" si="133"/>
        <v>2100</v>
      </c>
      <c r="AD214" s="178">
        <f t="shared" si="133"/>
        <v>2100</v>
      </c>
      <c r="AE214" s="178">
        <f>O214/M214*100</f>
        <v>92.586252304450895</v>
      </c>
      <c r="AF214" s="178">
        <f t="shared" si="130"/>
        <v>112.51920068269095</v>
      </c>
      <c r="AG214" s="178">
        <f t="shared" si="130"/>
        <v>76.19047619047619</v>
      </c>
      <c r="AH214" s="178">
        <f>AC214/Q214*100</f>
        <v>131.25</v>
      </c>
      <c r="AI214" s="183"/>
      <c r="AJ214" s="183">
        <v>2100</v>
      </c>
      <c r="AK214" s="171">
        <f t="shared" si="134"/>
        <v>207.32550103662751</v>
      </c>
      <c r="AL214" s="171">
        <f t="shared" si="135"/>
        <v>70</v>
      </c>
      <c r="AM214" s="171">
        <f t="shared" si="135"/>
        <v>100</v>
      </c>
      <c r="AN214" s="165"/>
      <c r="AO214" s="193"/>
      <c r="AP214" s="193" t="e">
        <f t="shared" ca="1" si="112"/>
        <v>#NAME?</v>
      </c>
      <c r="AQ214" s="200">
        <f>AQ374+AQ376+AQ998+AQ1079+AQ1142</f>
        <v>1988</v>
      </c>
      <c r="AR214" s="204">
        <f t="shared" si="115"/>
        <v>207.32550103662751</v>
      </c>
      <c r="AS214" s="204">
        <f t="shared" si="116"/>
        <v>100</v>
      </c>
      <c r="AT214" s="204">
        <f t="shared" si="117"/>
        <v>207.32550103662751</v>
      </c>
      <c r="AU214" s="204">
        <f t="shared" si="118"/>
        <v>66.266666666666666</v>
      </c>
      <c r="AV214" s="204">
        <f t="shared" si="119"/>
        <v>66.266666666666666</v>
      </c>
    </row>
    <row r="215" spans="1:48" ht="12" customHeight="1">
      <c r="A215" s="53"/>
      <c r="B215" s="53"/>
      <c r="C215" s="53"/>
      <c r="D215" s="53"/>
      <c r="E215" s="53"/>
      <c r="F215" s="53"/>
      <c r="G215" s="53"/>
      <c r="H215" s="64"/>
      <c r="I215" s="117"/>
      <c r="J215" s="118"/>
      <c r="K215" s="18"/>
      <c r="L215" s="119"/>
      <c r="M215" s="119"/>
      <c r="N215" s="120"/>
      <c r="O215" s="120"/>
      <c r="P215" s="121"/>
      <c r="Q215" s="121"/>
      <c r="R215" s="157"/>
      <c r="S215" s="158"/>
      <c r="T215" s="158"/>
      <c r="U215" s="90" t="e">
        <f t="shared" ca="1" si="111"/>
        <v>#NAME?</v>
      </c>
      <c r="V215" s="200"/>
      <c r="W215" s="200"/>
      <c r="X215" s="159"/>
      <c r="Y215" s="179"/>
      <c r="Z215" s="179"/>
      <c r="AA215" s="179"/>
      <c r="AB215" s="179"/>
      <c r="AC215" s="180"/>
      <c r="AD215" s="180"/>
      <c r="AE215" s="178"/>
      <c r="AF215" s="178"/>
      <c r="AG215" s="178"/>
      <c r="AH215" s="178"/>
      <c r="AI215" s="179"/>
      <c r="AJ215" s="179"/>
      <c r="AK215" s="171"/>
      <c r="AL215" s="171"/>
      <c r="AM215" s="171"/>
      <c r="AN215" s="158"/>
      <c r="AO215" s="193"/>
      <c r="AP215" s="193" t="e">
        <f t="shared" ca="1" si="112"/>
        <v>#NAME?</v>
      </c>
      <c r="AQ215" s="200"/>
      <c r="AR215" s="204"/>
      <c r="AS215" s="204"/>
      <c r="AT215" s="204"/>
      <c r="AU215" s="204"/>
      <c r="AV215" s="204"/>
    </row>
    <row r="216" spans="1:48" ht="12" customHeight="1">
      <c r="A216" s="59"/>
      <c r="B216" s="59"/>
      <c r="C216" s="59"/>
      <c r="D216" s="59"/>
      <c r="E216" s="59"/>
      <c r="F216" s="59"/>
      <c r="G216" s="59"/>
      <c r="H216" s="60">
        <v>32</v>
      </c>
      <c r="I216" s="125"/>
      <c r="J216" s="126"/>
      <c r="K216" s="127" t="s">
        <v>233</v>
      </c>
      <c r="L216" s="112">
        <f t="shared" ref="L216:S216" si="136">L218+L224+L233+L244+L248</f>
        <v>7145737</v>
      </c>
      <c r="M216" s="112">
        <f t="shared" si="136"/>
        <v>948402.28283230471</v>
      </c>
      <c r="N216" s="113">
        <f t="shared" si="136"/>
        <v>6811632</v>
      </c>
      <c r="O216" s="113">
        <f t="shared" si="136"/>
        <v>904058.92892693612</v>
      </c>
      <c r="P216" s="114">
        <f t="shared" si="136"/>
        <v>1141200</v>
      </c>
      <c r="Q216" s="114">
        <f t="shared" si="136"/>
        <v>1283000</v>
      </c>
      <c r="R216" s="88">
        <f t="shared" si="136"/>
        <v>1112958</v>
      </c>
      <c r="S216" s="90" t="e">
        <f t="shared" ca="1" si="136"/>
        <v>#NAME?</v>
      </c>
      <c r="T216" s="90"/>
      <c r="U216" s="90" t="e">
        <f t="shared" ca="1" si="111"/>
        <v>#NAME?</v>
      </c>
      <c r="V216" s="200">
        <f>V218+V224+V233+V244+V248</f>
        <v>1680009.93</v>
      </c>
      <c r="W216" s="200">
        <f>W218+W224+W233+W244+W248</f>
        <v>1716311.93</v>
      </c>
      <c r="X216" s="88">
        <f>X218+X224+X233+X244+X248</f>
        <v>1849940</v>
      </c>
      <c r="Y216" s="171">
        <f>Y218+Y224+Y233+Y244+Y248</f>
        <v>2154051.9</v>
      </c>
      <c r="Z216" s="171"/>
      <c r="AA216" s="171" t="e">
        <f ca="1">AA218+AA224+AA233+AA244+AA248</f>
        <v>#NAME?</v>
      </c>
      <c r="AB216" s="171">
        <f>AB218+AB224+AB233+AB244+AB248</f>
        <v>0</v>
      </c>
      <c r="AC216" s="172">
        <f>AC218+AC224+AC233+AC244+AC248</f>
        <v>1229700</v>
      </c>
      <c r="AD216" s="172">
        <f>AD218+AD224+AD233+AD244+AD248</f>
        <v>1229700</v>
      </c>
      <c r="AE216" s="178">
        <f>O216/M216*100</f>
        <v>95.324415102319051</v>
      </c>
      <c r="AF216" s="178">
        <f>P216/O216*100</f>
        <v>126.23070946874404</v>
      </c>
      <c r="AG216" s="178">
        <f>Q216/P216*100</f>
        <v>112.42551699964949</v>
      </c>
      <c r="AH216" s="178">
        <f>AC216/Q216*100</f>
        <v>95.845674201091185</v>
      </c>
      <c r="AI216" s="171"/>
      <c r="AJ216" s="171">
        <v>2154051.9</v>
      </c>
      <c r="AK216" s="171">
        <f t="shared" si="134"/>
        <v>154.21174294088365</v>
      </c>
      <c r="AL216" s="171">
        <f t="shared" si="135"/>
        <v>107.78576828980033</v>
      </c>
      <c r="AM216" s="171">
        <f t="shared" si="135"/>
        <v>116.43901423829961</v>
      </c>
      <c r="AN216" s="90"/>
      <c r="AO216" s="193"/>
      <c r="AP216" s="193" t="e">
        <f t="shared" ca="1" si="112"/>
        <v>#NAME?</v>
      </c>
      <c r="AQ216" s="200">
        <f>AQ218+AQ224+AQ233+AQ244+AQ248</f>
        <v>1596624.2599999998</v>
      </c>
      <c r="AR216" s="204">
        <f t="shared" si="115"/>
        <v>150.94998463553878</v>
      </c>
      <c r="AS216" s="204">
        <f t="shared" si="116"/>
        <v>102.16082056134037</v>
      </c>
      <c r="AT216" s="204">
        <f t="shared" si="117"/>
        <v>154.21174294088365</v>
      </c>
      <c r="AU216" s="204">
        <f t="shared" si="118"/>
        <v>93.026461687532517</v>
      </c>
      <c r="AV216" s="204">
        <f t="shared" si="119"/>
        <v>93.026461687532517</v>
      </c>
    </row>
    <row r="217" spans="1:48" ht="12" customHeight="1">
      <c r="A217" s="53"/>
      <c r="B217" s="53"/>
      <c r="C217" s="53"/>
      <c r="D217" s="53"/>
      <c r="E217" s="53"/>
      <c r="F217" s="53"/>
      <c r="G217" s="53"/>
      <c r="H217" s="64"/>
      <c r="I217" s="117"/>
      <c r="J217" s="118"/>
      <c r="K217" s="18"/>
      <c r="L217" s="119"/>
      <c r="M217" s="119"/>
      <c r="N217" s="120"/>
      <c r="O217" s="120"/>
      <c r="P217" s="121"/>
      <c r="Q217" s="121"/>
      <c r="R217" s="157"/>
      <c r="S217" s="158"/>
      <c r="T217" s="158"/>
      <c r="U217" s="90" t="e">
        <f t="shared" ca="1" si="111"/>
        <v>#NAME?</v>
      </c>
      <c r="V217" s="200"/>
      <c r="W217" s="200"/>
      <c r="X217" s="159"/>
      <c r="Y217" s="179"/>
      <c r="Z217" s="179"/>
      <c r="AA217" s="179"/>
      <c r="AB217" s="179"/>
      <c r="AC217" s="180"/>
      <c r="AD217" s="180"/>
      <c r="AE217" s="178"/>
      <c r="AF217" s="178"/>
      <c r="AG217" s="178"/>
      <c r="AH217" s="178"/>
      <c r="AI217" s="179"/>
      <c r="AJ217" s="179"/>
      <c r="AK217" s="171"/>
      <c r="AL217" s="171"/>
      <c r="AM217" s="171"/>
      <c r="AN217" s="158"/>
      <c r="AO217" s="193"/>
      <c r="AP217" s="193" t="e">
        <f t="shared" ca="1" si="112"/>
        <v>#NAME?</v>
      </c>
      <c r="AQ217" s="200"/>
      <c r="AR217" s="204"/>
      <c r="AS217" s="204"/>
      <c r="AT217" s="204"/>
      <c r="AU217" s="204"/>
      <c r="AV217" s="204"/>
    </row>
    <row r="218" spans="1:48" ht="12" customHeight="1">
      <c r="A218" s="62"/>
      <c r="B218" s="62"/>
      <c r="C218" s="62"/>
      <c r="D218" s="62"/>
      <c r="E218" s="62"/>
      <c r="F218" s="62"/>
      <c r="G218" s="62"/>
      <c r="H218" s="63">
        <v>321</v>
      </c>
      <c r="I218" s="128"/>
      <c r="J218" s="129"/>
      <c r="K218" s="19" t="s">
        <v>234</v>
      </c>
      <c r="L218" s="112">
        <f t="shared" ref="L218:S218" si="137">L219+L220+L221+L222</f>
        <v>201575</v>
      </c>
      <c r="M218" s="112">
        <f t="shared" si="137"/>
        <v>26753.600106178248</v>
      </c>
      <c r="N218" s="113">
        <f t="shared" si="137"/>
        <v>289051</v>
      </c>
      <c r="O218" s="113">
        <f t="shared" si="137"/>
        <v>38363.660495056072</v>
      </c>
      <c r="P218" s="114">
        <f t="shared" si="137"/>
        <v>49800</v>
      </c>
      <c r="Q218" s="114">
        <f t="shared" si="137"/>
        <v>58700</v>
      </c>
      <c r="R218" s="88">
        <f t="shared" si="137"/>
        <v>51862</v>
      </c>
      <c r="S218" s="90" t="e">
        <f t="shared" ca="1" si="137"/>
        <v>#NAME?</v>
      </c>
      <c r="T218" s="90"/>
      <c r="U218" s="90" t="e">
        <f t="shared" ca="1" si="111"/>
        <v>#NAME?</v>
      </c>
      <c r="V218" s="200">
        <f>V219+V220+V221+V222</f>
        <v>68300</v>
      </c>
      <c r="W218" s="200">
        <f>W219+W220+W221+W222</f>
        <v>68300</v>
      </c>
      <c r="X218" s="88">
        <f>X219+X220+X221+X222</f>
        <v>85500</v>
      </c>
      <c r="Y218" s="171">
        <f>Y219+Y220+Y221+Y222</f>
        <v>99600.5</v>
      </c>
      <c r="Z218" s="171"/>
      <c r="AA218" s="171" t="e">
        <f ca="1">AA219+AA220+AA221+AA222</f>
        <v>#NAME?</v>
      </c>
      <c r="AB218" s="171">
        <f>AB219+AB220+AB221+AB222</f>
        <v>0</v>
      </c>
      <c r="AC218" s="172">
        <f>AC219+AC220+AC221+AC222</f>
        <v>50700</v>
      </c>
      <c r="AD218" s="172">
        <f>AD219+AD220+AD221+AD222</f>
        <v>50700</v>
      </c>
      <c r="AE218" s="178">
        <f>O218/M218*100</f>
        <v>143.3962544958452</v>
      </c>
      <c r="AF218" s="178">
        <f t="shared" ref="AF218:AG222" si="138">P218/O218*100</f>
        <v>129.81034488723444</v>
      </c>
      <c r="AG218" s="178">
        <f t="shared" si="138"/>
        <v>117.8714859437751</v>
      </c>
      <c r="AH218" s="178">
        <f>AC218/Q218*100</f>
        <v>86.371379897785346</v>
      </c>
      <c r="AI218" s="171"/>
      <c r="AJ218" s="171">
        <v>99600.5</v>
      </c>
      <c r="AK218" s="171">
        <f t="shared" si="134"/>
        <v>131.69565385060352</v>
      </c>
      <c r="AL218" s="171">
        <f t="shared" si="135"/>
        <v>125.18301610541727</v>
      </c>
      <c r="AM218" s="171">
        <f t="shared" si="135"/>
        <v>116.49181286549708</v>
      </c>
      <c r="AN218" s="90"/>
      <c r="AO218" s="193"/>
      <c r="AP218" s="193" t="e">
        <f t="shared" ca="1" si="112"/>
        <v>#NAME?</v>
      </c>
      <c r="AQ218" s="200">
        <f>AQ219+AQ220+AQ221+AQ222</f>
        <v>63967.630000000005</v>
      </c>
      <c r="AR218" s="204">
        <f t="shared" si="115"/>
        <v>131.69565385060352</v>
      </c>
      <c r="AS218" s="204">
        <f t="shared" si="116"/>
        <v>100</v>
      </c>
      <c r="AT218" s="204">
        <f t="shared" si="117"/>
        <v>131.69565385060352</v>
      </c>
      <c r="AU218" s="204">
        <f t="shared" si="118"/>
        <v>93.656852122986834</v>
      </c>
      <c r="AV218" s="204">
        <f t="shared" si="119"/>
        <v>93.656852122986834</v>
      </c>
    </row>
    <row r="219" spans="1:48" ht="12" customHeight="1">
      <c r="A219" s="53"/>
      <c r="B219" s="53"/>
      <c r="C219" s="53"/>
      <c r="D219" s="53"/>
      <c r="E219" s="53"/>
      <c r="F219" s="53"/>
      <c r="G219" s="53"/>
      <c r="H219" s="64">
        <v>3211</v>
      </c>
      <c r="I219" s="117"/>
      <c r="J219" s="118"/>
      <c r="K219" s="18" t="s">
        <v>235</v>
      </c>
      <c r="L219" s="130">
        <f t="shared" ref="L219:S219" si="139">L381+L1084+L1002+L1146</f>
        <v>32670</v>
      </c>
      <c r="M219" s="130">
        <f t="shared" si="139"/>
        <v>4336.054150905833</v>
      </c>
      <c r="N219" s="131">
        <f t="shared" si="139"/>
        <v>67696</v>
      </c>
      <c r="O219" s="131">
        <f t="shared" si="139"/>
        <v>8984.8032384365233</v>
      </c>
      <c r="P219" s="132">
        <f t="shared" si="139"/>
        <v>13400</v>
      </c>
      <c r="Q219" s="132">
        <f t="shared" si="139"/>
        <v>17000</v>
      </c>
      <c r="R219" s="159">
        <f t="shared" si="139"/>
        <v>12913</v>
      </c>
      <c r="S219" s="165">
        <f t="shared" si="139"/>
        <v>9495</v>
      </c>
      <c r="T219" s="165"/>
      <c r="U219" s="90" t="e">
        <f t="shared" ca="1" si="111"/>
        <v>#NAME?</v>
      </c>
      <c r="V219" s="200">
        <f>V381+V1084+V1002+V1146</f>
        <v>17800</v>
      </c>
      <c r="W219" s="200">
        <f>W381+W1084+W1002+W1146</f>
        <v>17800</v>
      </c>
      <c r="X219" s="159">
        <f t="shared" ref="X219:AD219" si="140">X381+X1084+X1002+X1146</f>
        <v>21000</v>
      </c>
      <c r="Y219" s="183">
        <f t="shared" si="140"/>
        <v>25200</v>
      </c>
      <c r="Z219" s="183"/>
      <c r="AA219" s="183" t="e">
        <f t="shared" ca="1" si="140"/>
        <v>#NAME?</v>
      </c>
      <c r="AB219" s="183">
        <f t="shared" si="140"/>
        <v>0</v>
      </c>
      <c r="AC219" s="178">
        <f t="shared" si="140"/>
        <v>13700</v>
      </c>
      <c r="AD219" s="178">
        <f t="shared" si="140"/>
        <v>13700</v>
      </c>
      <c r="AE219" s="178">
        <f>O219/M219*100</f>
        <v>207.21150902969077</v>
      </c>
      <c r="AF219" s="178">
        <f t="shared" si="138"/>
        <v>149.14071732450961</v>
      </c>
      <c r="AG219" s="178">
        <f t="shared" si="138"/>
        <v>126.86567164179105</v>
      </c>
      <c r="AH219" s="178">
        <f>AC219/Q219*100</f>
        <v>80.588235294117652</v>
      </c>
      <c r="AI219" s="183"/>
      <c r="AJ219" s="183">
        <v>25200</v>
      </c>
      <c r="AK219" s="171">
        <f t="shared" si="134"/>
        <v>137.84558197165646</v>
      </c>
      <c r="AL219" s="171">
        <f t="shared" si="135"/>
        <v>117.97752808988764</v>
      </c>
      <c r="AM219" s="171">
        <f t="shared" si="135"/>
        <v>120</v>
      </c>
      <c r="AN219" s="165"/>
      <c r="AO219" s="193"/>
      <c r="AP219" s="193" t="e">
        <f t="shared" ca="1" si="112"/>
        <v>#NAME?</v>
      </c>
      <c r="AQ219" s="200">
        <f>AQ381+AQ1084+AQ1002+AQ1146</f>
        <v>15455.480000000001</v>
      </c>
      <c r="AR219" s="204">
        <f t="shared" si="115"/>
        <v>137.84558197165646</v>
      </c>
      <c r="AS219" s="204">
        <f t="shared" si="116"/>
        <v>100</v>
      </c>
      <c r="AT219" s="204">
        <f t="shared" si="117"/>
        <v>137.84558197165646</v>
      </c>
      <c r="AU219" s="204">
        <f t="shared" si="118"/>
        <v>86.828539325842698</v>
      </c>
      <c r="AV219" s="204">
        <f t="shared" si="119"/>
        <v>86.828539325842698</v>
      </c>
    </row>
    <row r="220" spans="1:48" ht="12" customHeight="1">
      <c r="A220" s="53"/>
      <c r="B220" s="53"/>
      <c r="C220" s="53"/>
      <c r="D220" s="53"/>
      <c r="E220" s="53"/>
      <c r="F220" s="53"/>
      <c r="G220" s="53"/>
      <c r="H220" s="64">
        <v>3212</v>
      </c>
      <c r="I220" s="117"/>
      <c r="J220" s="118"/>
      <c r="K220" s="18" t="s">
        <v>236</v>
      </c>
      <c r="L220" s="130">
        <f t="shared" ref="L220:S220" si="141">L382+L1003+L1147</f>
        <v>154013</v>
      </c>
      <c r="M220" s="130">
        <f t="shared" si="141"/>
        <v>20441.037892361801</v>
      </c>
      <c r="N220" s="131">
        <f t="shared" si="141"/>
        <v>198037</v>
      </c>
      <c r="O220" s="131">
        <f t="shared" si="141"/>
        <v>26284.026810007297</v>
      </c>
      <c r="P220" s="132">
        <f t="shared" si="141"/>
        <v>29900</v>
      </c>
      <c r="Q220" s="132">
        <f t="shared" si="141"/>
        <v>34800</v>
      </c>
      <c r="R220" s="159">
        <f t="shared" si="141"/>
        <v>33042</v>
      </c>
      <c r="S220" s="165">
        <f t="shared" si="141"/>
        <v>4176</v>
      </c>
      <c r="T220" s="165"/>
      <c r="U220" s="90" t="e">
        <f t="shared" ca="1" si="111"/>
        <v>#NAME?</v>
      </c>
      <c r="V220" s="200">
        <f>V382+V1003+V1147</f>
        <v>38500</v>
      </c>
      <c r="W220" s="200">
        <f>W382+W1003+W1147</f>
        <v>38500</v>
      </c>
      <c r="X220" s="159">
        <f t="shared" ref="X220:AD220" si="142">X382+X1003+X1147</f>
        <v>49500</v>
      </c>
      <c r="Y220" s="183">
        <f t="shared" si="142"/>
        <v>53800.2</v>
      </c>
      <c r="Z220" s="183"/>
      <c r="AA220" s="183" t="e">
        <f t="shared" ca="1" si="142"/>
        <v>#NAME?</v>
      </c>
      <c r="AB220" s="183">
        <f t="shared" si="142"/>
        <v>0</v>
      </c>
      <c r="AC220" s="178">
        <f t="shared" si="142"/>
        <v>30500</v>
      </c>
      <c r="AD220" s="178">
        <f t="shared" si="142"/>
        <v>30500</v>
      </c>
      <c r="AE220" s="178">
        <f>O220/M220*100</f>
        <v>128.58460000129858</v>
      </c>
      <c r="AF220" s="178">
        <f t="shared" si="138"/>
        <v>113.75730292824069</v>
      </c>
      <c r="AG220" s="178">
        <f t="shared" si="138"/>
        <v>116.38795986622073</v>
      </c>
      <c r="AH220" s="178">
        <f>AC220/Q220*100</f>
        <v>87.643678160919535</v>
      </c>
      <c r="AI220" s="183"/>
      <c r="AJ220" s="183">
        <v>53800.2</v>
      </c>
      <c r="AK220" s="171">
        <f t="shared" si="134"/>
        <v>116.51837055868288</v>
      </c>
      <c r="AL220" s="171">
        <f t="shared" si="135"/>
        <v>128.57142857142858</v>
      </c>
      <c r="AM220" s="171">
        <f t="shared" si="135"/>
        <v>108.68727272727273</v>
      </c>
      <c r="AN220" s="165"/>
      <c r="AO220" s="193"/>
      <c r="AP220" s="193" t="e">
        <f t="shared" ca="1" si="112"/>
        <v>#NAME?</v>
      </c>
      <c r="AQ220" s="200">
        <f>AQ382+AQ1003+AQ1147</f>
        <v>36718.630000000005</v>
      </c>
      <c r="AR220" s="204">
        <f t="shared" si="115"/>
        <v>116.51837055868288</v>
      </c>
      <c r="AS220" s="204">
        <f t="shared" si="116"/>
        <v>100</v>
      </c>
      <c r="AT220" s="204">
        <f t="shared" si="117"/>
        <v>116.51837055868288</v>
      </c>
      <c r="AU220" s="204">
        <f t="shared" si="118"/>
        <v>95.373064935064946</v>
      </c>
      <c r="AV220" s="204">
        <f t="shared" si="119"/>
        <v>95.373064935064946</v>
      </c>
    </row>
    <row r="221" spans="1:48" ht="12" customHeight="1">
      <c r="A221" s="53"/>
      <c r="B221" s="53"/>
      <c r="C221" s="53"/>
      <c r="D221" s="53"/>
      <c r="E221" s="53"/>
      <c r="F221" s="53"/>
      <c r="G221" s="53"/>
      <c r="H221" s="64">
        <v>3213</v>
      </c>
      <c r="I221" s="117"/>
      <c r="J221" s="118"/>
      <c r="K221" s="18" t="s">
        <v>237</v>
      </c>
      <c r="L221" s="130">
        <f t="shared" ref="L221:S221" si="143">L383+L1004+L1085+L1148</f>
        <v>9714</v>
      </c>
      <c r="M221" s="130">
        <f t="shared" si="143"/>
        <v>1289.2693609396774</v>
      </c>
      <c r="N221" s="131">
        <f t="shared" si="143"/>
        <v>14565</v>
      </c>
      <c r="O221" s="131">
        <f t="shared" si="143"/>
        <v>1933.1077045590282</v>
      </c>
      <c r="P221" s="132">
        <f t="shared" si="143"/>
        <v>4300</v>
      </c>
      <c r="Q221" s="132">
        <f t="shared" si="143"/>
        <v>4700</v>
      </c>
      <c r="R221" s="159">
        <f t="shared" si="143"/>
        <v>4333</v>
      </c>
      <c r="S221" s="165">
        <f t="shared" si="143"/>
        <v>3776</v>
      </c>
      <c r="T221" s="165"/>
      <c r="U221" s="90" t="e">
        <f t="shared" ca="1" si="111"/>
        <v>#NAME?</v>
      </c>
      <c r="V221" s="200">
        <f>V383+V1004+V1085+V1148</f>
        <v>9500</v>
      </c>
      <c r="W221" s="200">
        <f>W383+W1004+W1085+W1148</f>
        <v>9500</v>
      </c>
      <c r="X221" s="159">
        <f t="shared" ref="X221:AD221" si="144">X383+X1004+X1085+X1148</f>
        <v>11500</v>
      </c>
      <c r="Y221" s="183">
        <f t="shared" si="144"/>
        <v>16400.3</v>
      </c>
      <c r="Z221" s="183"/>
      <c r="AA221" s="183" t="e">
        <f t="shared" ca="1" si="144"/>
        <v>#NAME?</v>
      </c>
      <c r="AB221" s="183">
        <f t="shared" si="144"/>
        <v>0</v>
      </c>
      <c r="AC221" s="183">
        <f t="shared" si="144"/>
        <v>4300</v>
      </c>
      <c r="AD221" s="183">
        <f t="shared" si="144"/>
        <v>4300</v>
      </c>
      <c r="AE221" s="178">
        <f>O221/M221*100</f>
        <v>149.93823347745521</v>
      </c>
      <c r="AF221" s="178">
        <f t="shared" si="138"/>
        <v>222.43975283213183</v>
      </c>
      <c r="AG221" s="178">
        <f t="shared" si="138"/>
        <v>109.30232558139534</v>
      </c>
      <c r="AH221" s="178">
        <f>AC221/Q221*100</f>
        <v>91.489361702127653</v>
      </c>
      <c r="AI221" s="183"/>
      <c r="AJ221" s="183">
        <v>16400.3</v>
      </c>
      <c r="AK221" s="171">
        <f t="shared" si="134"/>
        <v>219.24763443341794</v>
      </c>
      <c r="AL221" s="171">
        <f t="shared" si="135"/>
        <v>121.05263157894737</v>
      </c>
      <c r="AM221" s="171">
        <f t="shared" si="135"/>
        <v>142.61130434782606</v>
      </c>
      <c r="AN221" s="165"/>
      <c r="AO221" s="193"/>
      <c r="AP221" s="193" t="e">
        <f t="shared" ca="1" si="112"/>
        <v>#NAME?</v>
      </c>
      <c r="AQ221" s="200">
        <f>AQ383+AQ1004+AQ1085+AQ1148</f>
        <v>8581.5</v>
      </c>
      <c r="AR221" s="204">
        <f t="shared" si="115"/>
        <v>219.24763443341794</v>
      </c>
      <c r="AS221" s="204">
        <f t="shared" si="116"/>
        <v>100</v>
      </c>
      <c r="AT221" s="204">
        <f t="shared" si="117"/>
        <v>219.24763443341794</v>
      </c>
      <c r="AU221" s="204">
        <f t="shared" si="118"/>
        <v>90.331578947368413</v>
      </c>
      <c r="AV221" s="204">
        <f t="shared" si="119"/>
        <v>90.331578947368413</v>
      </c>
    </row>
    <row r="222" spans="1:48" ht="12" customHeight="1">
      <c r="A222" s="242"/>
      <c r="B222" s="242"/>
      <c r="C222" s="242"/>
      <c r="D222" s="242"/>
      <c r="E222" s="242"/>
      <c r="F222" s="242"/>
      <c r="G222" s="242"/>
      <c r="H222" s="64">
        <v>3214</v>
      </c>
      <c r="I222" s="252"/>
      <c r="J222" s="253"/>
      <c r="K222" s="18" t="s">
        <v>238</v>
      </c>
      <c r="L222" s="137">
        <f t="shared" ref="L222:S222" si="145">L384+L1149+L1005</f>
        <v>5178</v>
      </c>
      <c r="M222" s="137">
        <f t="shared" si="145"/>
        <v>687.23870197093368</v>
      </c>
      <c r="N222" s="138">
        <f t="shared" si="145"/>
        <v>8753</v>
      </c>
      <c r="O222" s="138">
        <f t="shared" si="145"/>
        <v>1161.7227420532217</v>
      </c>
      <c r="P222" s="139">
        <f t="shared" si="145"/>
        <v>2200</v>
      </c>
      <c r="Q222" s="139">
        <f t="shared" si="145"/>
        <v>2200</v>
      </c>
      <c r="R222" s="137">
        <f t="shared" si="145"/>
        <v>1574</v>
      </c>
      <c r="S222" s="139" t="e">
        <f t="shared" ca="1" si="145"/>
        <v>#NAME?</v>
      </c>
      <c r="T222" s="139"/>
      <c r="U222" s="90" t="e">
        <f t="shared" ca="1" si="111"/>
        <v>#NAME?</v>
      </c>
      <c r="V222" s="200">
        <f>V384+V1149+V1005</f>
        <v>2500</v>
      </c>
      <c r="W222" s="200">
        <f>W384+W1149+W1005</f>
        <v>2500</v>
      </c>
      <c r="X222" s="137">
        <f t="shared" ref="X222:AD222" si="146">X384+X1149+X1005</f>
        <v>3500</v>
      </c>
      <c r="Y222" s="184">
        <f t="shared" si="146"/>
        <v>4200</v>
      </c>
      <c r="Z222" s="184"/>
      <c r="AA222" s="184" t="e">
        <f t="shared" ca="1" si="146"/>
        <v>#NAME?</v>
      </c>
      <c r="AB222" s="184">
        <f t="shared" si="146"/>
        <v>0</v>
      </c>
      <c r="AC222" s="185">
        <f t="shared" si="146"/>
        <v>2200</v>
      </c>
      <c r="AD222" s="185">
        <f t="shared" si="146"/>
        <v>2200</v>
      </c>
      <c r="AE222" s="178">
        <f>O222/M222*100</f>
        <v>169.04210119737348</v>
      </c>
      <c r="AF222" s="178">
        <f t="shared" si="138"/>
        <v>189.37392893864961</v>
      </c>
      <c r="AG222" s="178">
        <f t="shared" si="138"/>
        <v>100</v>
      </c>
      <c r="AH222" s="178">
        <f>AC222/Q222*100</f>
        <v>100</v>
      </c>
      <c r="AI222" s="184"/>
      <c r="AJ222" s="184">
        <v>4200</v>
      </c>
      <c r="AK222" s="171">
        <f t="shared" si="134"/>
        <v>158.83100381194407</v>
      </c>
      <c r="AL222" s="171">
        <f t="shared" si="135"/>
        <v>140</v>
      </c>
      <c r="AM222" s="171">
        <f t="shared" si="135"/>
        <v>120</v>
      </c>
      <c r="AN222" s="139"/>
      <c r="AO222" s="193"/>
      <c r="AP222" s="193" t="e">
        <f t="shared" ca="1" si="112"/>
        <v>#NAME?</v>
      </c>
      <c r="AQ222" s="200">
        <f>AQ384+AQ1149+AQ1005</f>
        <v>3212.02</v>
      </c>
      <c r="AR222" s="204">
        <f t="shared" si="115"/>
        <v>158.83100381194407</v>
      </c>
      <c r="AS222" s="204">
        <f t="shared" si="116"/>
        <v>100</v>
      </c>
      <c r="AT222" s="204">
        <f t="shared" si="117"/>
        <v>158.83100381194407</v>
      </c>
      <c r="AU222" s="204">
        <f t="shared" si="118"/>
        <v>128.48079999999999</v>
      </c>
      <c r="AV222" s="204">
        <f t="shared" si="119"/>
        <v>128.48079999999999</v>
      </c>
    </row>
    <row r="223" spans="1:48" ht="12" customHeight="1">
      <c r="A223" s="42"/>
      <c r="B223" s="42"/>
      <c r="C223" s="42"/>
      <c r="D223" s="42"/>
      <c r="E223" s="42"/>
      <c r="F223" s="42"/>
      <c r="G223" s="42"/>
      <c r="H223" s="38"/>
      <c r="I223" s="73"/>
      <c r="J223" s="91"/>
      <c r="K223" s="84"/>
      <c r="L223" s="85"/>
      <c r="M223" s="85"/>
      <c r="N223" s="86"/>
      <c r="O223" s="86"/>
      <c r="P223" s="87"/>
      <c r="Q223" s="87"/>
      <c r="R223" s="160"/>
      <c r="S223" s="161"/>
      <c r="T223" s="161"/>
      <c r="U223" s="90" t="e">
        <f t="shared" ca="1" si="111"/>
        <v>#NAME?</v>
      </c>
      <c r="V223" s="200"/>
      <c r="W223" s="200"/>
      <c r="X223" s="162"/>
      <c r="Y223" s="181"/>
      <c r="Z223" s="181"/>
      <c r="AA223" s="181"/>
      <c r="AB223" s="181"/>
      <c r="AC223" s="182"/>
      <c r="AD223" s="182"/>
      <c r="AE223" s="178"/>
      <c r="AF223" s="178"/>
      <c r="AG223" s="178"/>
      <c r="AH223" s="178"/>
      <c r="AI223" s="181"/>
      <c r="AJ223" s="181"/>
      <c r="AK223" s="171"/>
      <c r="AL223" s="171"/>
      <c r="AM223" s="171"/>
      <c r="AN223" s="161"/>
      <c r="AO223" s="193"/>
      <c r="AP223" s="193" t="e">
        <f t="shared" ca="1" si="112"/>
        <v>#NAME?</v>
      </c>
      <c r="AQ223" s="200"/>
      <c r="AR223" s="204"/>
      <c r="AS223" s="204"/>
      <c r="AT223" s="204"/>
      <c r="AU223" s="204"/>
      <c r="AV223" s="204"/>
    </row>
    <row r="224" spans="1:48" ht="12" customHeight="1">
      <c r="A224" s="62"/>
      <c r="B224" s="62"/>
      <c r="C224" s="62"/>
      <c r="D224" s="62"/>
      <c r="E224" s="62"/>
      <c r="F224" s="62"/>
      <c r="G224" s="62"/>
      <c r="H224" s="63">
        <v>322</v>
      </c>
      <c r="I224" s="128"/>
      <c r="J224" s="129"/>
      <c r="K224" s="19" t="s">
        <v>239</v>
      </c>
      <c r="L224" s="112">
        <f t="shared" ref="L224:S224" si="147">L226+L227+L228+L229+L230+L231</f>
        <v>913369</v>
      </c>
      <c r="M224" s="112">
        <f t="shared" si="147"/>
        <v>121224.89879885857</v>
      </c>
      <c r="N224" s="113">
        <f t="shared" si="147"/>
        <v>1391677</v>
      </c>
      <c r="O224" s="113">
        <f t="shared" si="147"/>
        <v>184707.27984604155</v>
      </c>
      <c r="P224" s="114">
        <f t="shared" si="147"/>
        <v>186100</v>
      </c>
      <c r="Q224" s="114">
        <f t="shared" si="147"/>
        <v>196100</v>
      </c>
      <c r="R224" s="88">
        <f t="shared" si="147"/>
        <v>185183</v>
      </c>
      <c r="S224" s="90" t="e">
        <f t="shared" ca="1" si="147"/>
        <v>#NAME?</v>
      </c>
      <c r="T224" s="90"/>
      <c r="U224" s="90" t="e">
        <f t="shared" ca="1" si="111"/>
        <v>#NAME?</v>
      </c>
      <c r="V224" s="200">
        <f>V226+V227+V228+V229+V230+V231</f>
        <v>216319.76</v>
      </c>
      <c r="W224" s="200">
        <f>W226+W227+W228+W229+W230+W231</f>
        <v>216319.76</v>
      </c>
      <c r="X224" s="88">
        <f>X226+X227+X228+X229+X230+X231</f>
        <v>246400</v>
      </c>
      <c r="Y224" s="171">
        <f>Y226+Y227+Y228+Y229+Y230+Y231</f>
        <v>273100.3</v>
      </c>
      <c r="Z224" s="171"/>
      <c r="AA224" s="171" t="e">
        <f ca="1">AA226+AA227+AA228+AA229+AA230+AA231</f>
        <v>#NAME?</v>
      </c>
      <c r="AB224" s="171">
        <f>AB226+AB227+AB228+AB229+AB230+AB231</f>
        <v>0</v>
      </c>
      <c r="AC224" s="172">
        <f>AC226+AC227+AC228+AC229+AC230+AC231</f>
        <v>198100</v>
      </c>
      <c r="AD224" s="172">
        <f>AD226+AD227+AD228+AD229+AD230+AD231</f>
        <v>198100</v>
      </c>
      <c r="AE224" s="178">
        <f>O224/M224*100</f>
        <v>152.36744404506834</v>
      </c>
      <c r="AF224" s="178">
        <f>P224/O224*100</f>
        <v>100.75401476060897</v>
      </c>
      <c r="AG224" s="178">
        <f>Q224/P224*100</f>
        <v>105.37345513164964</v>
      </c>
      <c r="AH224" s="178">
        <f>AC224/Q224*100</f>
        <v>101.01988781234064</v>
      </c>
      <c r="AI224" s="171"/>
      <c r="AJ224" s="171">
        <v>273100.3</v>
      </c>
      <c r="AK224" s="171">
        <f t="shared" si="134"/>
        <v>116.81404880577591</v>
      </c>
      <c r="AL224" s="171">
        <f t="shared" si="135"/>
        <v>113.90545181817879</v>
      </c>
      <c r="AM224" s="171">
        <f t="shared" si="135"/>
        <v>110.8361607142857</v>
      </c>
      <c r="AN224" s="90"/>
      <c r="AO224" s="193"/>
      <c r="AP224" s="193" t="e">
        <f t="shared" ca="1" si="112"/>
        <v>#NAME?</v>
      </c>
      <c r="AQ224" s="200">
        <f>AQ226+AQ227+AQ228+AQ229+AQ230+AQ231</f>
        <v>181101.38</v>
      </c>
      <c r="AR224" s="204">
        <f t="shared" si="115"/>
        <v>116.81404880577591</v>
      </c>
      <c r="AS224" s="204">
        <f t="shared" si="116"/>
        <v>100</v>
      </c>
      <c r="AT224" s="204">
        <f t="shared" si="117"/>
        <v>116.81404880577591</v>
      </c>
      <c r="AU224" s="204">
        <f t="shared" si="118"/>
        <v>83.719295916378599</v>
      </c>
      <c r="AV224" s="204">
        <f t="shared" si="119"/>
        <v>83.719295916378599</v>
      </c>
    </row>
    <row r="225" spans="1:48" ht="12" customHeight="1">
      <c r="A225" s="42"/>
      <c r="B225" s="42"/>
      <c r="C225" s="42"/>
      <c r="D225" s="42"/>
      <c r="E225" s="42"/>
      <c r="F225" s="42"/>
      <c r="G225" s="42"/>
      <c r="H225" s="38"/>
      <c r="I225" s="73"/>
      <c r="J225" s="74"/>
      <c r="K225" s="84"/>
      <c r="L225" s="85"/>
      <c r="M225" s="85"/>
      <c r="N225" s="86"/>
      <c r="O225" s="86"/>
      <c r="P225" s="87"/>
      <c r="Q225" s="87"/>
      <c r="R225" s="160"/>
      <c r="S225" s="161"/>
      <c r="T225" s="161"/>
      <c r="U225" s="90" t="e">
        <f t="shared" ca="1" si="111"/>
        <v>#NAME?</v>
      </c>
      <c r="V225" s="200"/>
      <c r="W225" s="200"/>
      <c r="X225" s="162"/>
      <c r="Y225" s="181"/>
      <c r="Z225" s="181"/>
      <c r="AA225" s="181"/>
      <c r="AB225" s="181"/>
      <c r="AC225" s="182"/>
      <c r="AD225" s="182"/>
      <c r="AE225" s="178"/>
      <c r="AF225" s="178"/>
      <c r="AG225" s="178"/>
      <c r="AH225" s="178"/>
      <c r="AI225" s="181"/>
      <c r="AJ225" s="181"/>
      <c r="AK225" s="171"/>
      <c r="AL225" s="171"/>
      <c r="AM225" s="171"/>
      <c r="AN225" s="161"/>
      <c r="AO225" s="193"/>
      <c r="AP225" s="193" t="e">
        <f t="shared" ca="1" si="112"/>
        <v>#NAME?</v>
      </c>
      <c r="AQ225" s="200"/>
      <c r="AR225" s="204"/>
      <c r="AS225" s="204"/>
      <c r="AT225" s="204"/>
      <c r="AU225" s="204"/>
      <c r="AV225" s="204"/>
    </row>
    <row r="226" spans="1:48" ht="12" customHeight="1">
      <c r="A226" s="53"/>
      <c r="B226" s="53"/>
      <c r="C226" s="53"/>
      <c r="D226" s="53"/>
      <c r="E226" s="53"/>
      <c r="F226" s="53"/>
      <c r="G226" s="53"/>
      <c r="H226" s="64">
        <v>3221</v>
      </c>
      <c r="I226" s="117"/>
      <c r="J226" s="118"/>
      <c r="K226" s="18" t="s">
        <v>240</v>
      </c>
      <c r="L226" s="130">
        <f t="shared" ref="L226:S226" si="148">L387+L1013+L1088+L1152</f>
        <v>145370</v>
      </c>
      <c r="M226" s="130">
        <f t="shared" si="148"/>
        <v>19293.914659234189</v>
      </c>
      <c r="N226" s="131">
        <f t="shared" si="148"/>
        <v>149401</v>
      </c>
      <c r="O226" s="131">
        <f t="shared" si="148"/>
        <v>19828.920299953545</v>
      </c>
      <c r="P226" s="132">
        <f t="shared" si="148"/>
        <v>21200</v>
      </c>
      <c r="Q226" s="132">
        <f t="shared" si="148"/>
        <v>24900</v>
      </c>
      <c r="R226" s="159">
        <f t="shared" si="148"/>
        <v>25031</v>
      </c>
      <c r="S226" s="165">
        <f t="shared" si="148"/>
        <v>4610</v>
      </c>
      <c r="T226" s="165"/>
      <c r="U226" s="90" t="e">
        <f t="shared" ca="1" si="111"/>
        <v>#NAME?</v>
      </c>
      <c r="V226" s="200">
        <f>V387+V1013+V1088+V1152</f>
        <v>27299.5</v>
      </c>
      <c r="W226" s="200">
        <f>W387+W1013+W1088+W1152</f>
        <v>27299.5</v>
      </c>
      <c r="X226" s="159">
        <f t="shared" ref="X226:AD226" si="149">X387+X1013+X1088+X1152</f>
        <v>29900</v>
      </c>
      <c r="Y226" s="183">
        <f t="shared" si="149"/>
        <v>31300</v>
      </c>
      <c r="Z226" s="183"/>
      <c r="AA226" s="183" t="e">
        <f t="shared" ca="1" si="149"/>
        <v>#NAME?</v>
      </c>
      <c r="AB226" s="183">
        <f t="shared" si="149"/>
        <v>0</v>
      </c>
      <c r="AC226" s="178">
        <f t="shared" si="149"/>
        <v>21700</v>
      </c>
      <c r="AD226" s="178">
        <f t="shared" si="149"/>
        <v>21700</v>
      </c>
      <c r="AE226" s="178">
        <f>O226/M226*100</f>
        <v>102.77292426222742</v>
      </c>
      <c r="AF226" s="178">
        <f t="shared" ref="AF226:AG230" si="150">P226/O226*100</f>
        <v>106.91454541803604</v>
      </c>
      <c r="AG226" s="178">
        <f t="shared" si="150"/>
        <v>117.45283018867924</v>
      </c>
      <c r="AH226" s="178">
        <f>AC226/Q226*100</f>
        <v>87.148594377510037</v>
      </c>
      <c r="AI226" s="183"/>
      <c r="AJ226" s="183">
        <v>31300</v>
      </c>
      <c r="AK226" s="171">
        <f t="shared" si="134"/>
        <v>109.06276217490311</v>
      </c>
      <c r="AL226" s="171">
        <f t="shared" si="135"/>
        <v>109.52581549112621</v>
      </c>
      <c r="AM226" s="171">
        <f t="shared" si="135"/>
        <v>104.68227424749163</v>
      </c>
      <c r="AN226" s="165"/>
      <c r="AO226" s="193"/>
      <c r="AP226" s="193" t="e">
        <f t="shared" ca="1" si="112"/>
        <v>#NAME?</v>
      </c>
      <c r="AQ226" s="200">
        <f>AQ387+AQ1013+AQ1088+AQ1152</f>
        <v>21945.83</v>
      </c>
      <c r="AR226" s="204">
        <f t="shared" si="115"/>
        <v>109.06276217490311</v>
      </c>
      <c r="AS226" s="204">
        <f t="shared" si="116"/>
        <v>100</v>
      </c>
      <c r="AT226" s="204">
        <f t="shared" si="117"/>
        <v>109.06276217490311</v>
      </c>
      <c r="AU226" s="204">
        <f t="shared" si="118"/>
        <v>80.389128006007439</v>
      </c>
      <c r="AV226" s="204">
        <f t="shared" si="119"/>
        <v>80.389128006007439</v>
      </c>
    </row>
    <row r="227" spans="1:48" ht="12" customHeight="1">
      <c r="A227" s="53"/>
      <c r="B227" s="53"/>
      <c r="C227" s="53"/>
      <c r="D227" s="53"/>
      <c r="E227" s="53"/>
      <c r="F227" s="53"/>
      <c r="G227" s="53"/>
      <c r="H227" s="64">
        <v>3222</v>
      </c>
      <c r="I227" s="117"/>
      <c r="J227" s="118"/>
      <c r="K227" s="18" t="s">
        <v>241</v>
      </c>
      <c r="L227" s="130">
        <f t="shared" ref="L227:S227" si="151">L1014</f>
        <v>211207</v>
      </c>
      <c r="M227" s="130">
        <f t="shared" si="151"/>
        <v>28031.986196827922</v>
      </c>
      <c r="N227" s="131">
        <f t="shared" si="151"/>
        <v>256784</v>
      </c>
      <c r="O227" s="131">
        <f t="shared" si="151"/>
        <v>34081.093635941332</v>
      </c>
      <c r="P227" s="132">
        <f t="shared" si="151"/>
        <v>40500</v>
      </c>
      <c r="Q227" s="132">
        <f t="shared" si="151"/>
        <v>42200</v>
      </c>
      <c r="R227" s="159">
        <f t="shared" si="151"/>
        <v>47585</v>
      </c>
      <c r="S227" s="165">
        <f t="shared" si="151"/>
        <v>0</v>
      </c>
      <c r="T227" s="165"/>
      <c r="U227" s="90" t="e">
        <f t="shared" ca="1" si="111"/>
        <v>#NAME?</v>
      </c>
      <c r="V227" s="200">
        <f>V1014</f>
        <v>48300</v>
      </c>
      <c r="W227" s="200">
        <f>W1014</f>
        <v>48300</v>
      </c>
      <c r="X227" s="159">
        <f>X1014</f>
        <v>50000</v>
      </c>
      <c r="Y227" s="183">
        <f>Y1014</f>
        <v>51200</v>
      </c>
      <c r="Z227" s="183"/>
      <c r="AA227" s="183" t="e">
        <f ca="1">AA1014</f>
        <v>#NAME?</v>
      </c>
      <c r="AB227" s="183">
        <f>AB1014</f>
        <v>0</v>
      </c>
      <c r="AC227" s="178">
        <f>AC1014</f>
        <v>40500</v>
      </c>
      <c r="AD227" s="178">
        <f>AD1014</f>
        <v>40500</v>
      </c>
      <c r="AE227" s="178">
        <f>O227/M227*100</f>
        <v>121.5793037162594</v>
      </c>
      <c r="AF227" s="178">
        <f t="shared" si="150"/>
        <v>118.8342147485825</v>
      </c>
      <c r="AG227" s="178">
        <f t="shared" si="150"/>
        <v>104.19753086419755</v>
      </c>
      <c r="AH227" s="178">
        <f>AC227/Q227*100</f>
        <v>95.97156398104265</v>
      </c>
      <c r="AI227" s="183"/>
      <c r="AJ227" s="183">
        <v>51200</v>
      </c>
      <c r="AK227" s="171">
        <f t="shared" si="134"/>
        <v>101.50257434065357</v>
      </c>
      <c r="AL227" s="171">
        <f t="shared" si="135"/>
        <v>103.51966873706004</v>
      </c>
      <c r="AM227" s="171">
        <f t="shared" si="135"/>
        <v>102.4</v>
      </c>
      <c r="AN227" s="165"/>
      <c r="AO227" s="193"/>
      <c r="AP227" s="193" t="e">
        <f t="shared" ca="1" si="112"/>
        <v>#NAME?</v>
      </c>
      <c r="AQ227" s="200">
        <f>AQ1014</f>
        <v>51210.44</v>
      </c>
      <c r="AR227" s="204">
        <f t="shared" si="115"/>
        <v>101.50257434065357</v>
      </c>
      <c r="AS227" s="204">
        <f t="shared" si="116"/>
        <v>100</v>
      </c>
      <c r="AT227" s="204">
        <f t="shared" si="117"/>
        <v>101.50257434065357</v>
      </c>
      <c r="AU227" s="204">
        <f t="shared" si="118"/>
        <v>106.02575569358179</v>
      </c>
      <c r="AV227" s="204">
        <f t="shared" si="119"/>
        <v>106.02575569358179</v>
      </c>
    </row>
    <row r="228" spans="1:48" ht="12" customHeight="1">
      <c r="A228" s="53"/>
      <c r="B228" s="53"/>
      <c r="C228" s="53"/>
      <c r="D228" s="53"/>
      <c r="E228" s="53"/>
      <c r="F228" s="53"/>
      <c r="G228" s="53"/>
      <c r="H228" s="64">
        <v>3223</v>
      </c>
      <c r="I228" s="117"/>
      <c r="J228" s="118"/>
      <c r="K228" s="18" t="s">
        <v>242</v>
      </c>
      <c r="L228" s="130">
        <f t="shared" ref="L228:S228" si="152">L388+L680+L1015+L1089</f>
        <v>495566</v>
      </c>
      <c r="M228" s="130">
        <f t="shared" si="152"/>
        <v>65772.911274802565</v>
      </c>
      <c r="N228" s="131">
        <f t="shared" si="152"/>
        <v>867308</v>
      </c>
      <c r="O228" s="131">
        <f t="shared" si="152"/>
        <v>115111.55352047249</v>
      </c>
      <c r="P228" s="132">
        <f t="shared" si="152"/>
        <v>89300</v>
      </c>
      <c r="Q228" s="132">
        <f t="shared" si="152"/>
        <v>101900</v>
      </c>
      <c r="R228" s="159">
        <f t="shared" si="152"/>
        <v>94184</v>
      </c>
      <c r="S228" s="165" t="e">
        <f t="shared" ca="1" si="152"/>
        <v>#NAME?</v>
      </c>
      <c r="T228" s="165"/>
      <c r="U228" s="90" t="e">
        <f t="shared" ca="1" si="111"/>
        <v>#NAME?</v>
      </c>
      <c r="V228" s="200">
        <f>V388+V680+V1015+V1089</f>
        <v>111420.26</v>
      </c>
      <c r="W228" s="200">
        <f>W388+W680+W1015+W1089</f>
        <v>111420.26</v>
      </c>
      <c r="X228" s="159">
        <f t="shared" ref="X228:AD228" si="153">X388+X680+X1015+X1089</f>
        <v>124800</v>
      </c>
      <c r="Y228" s="183">
        <f t="shared" si="153"/>
        <v>141300</v>
      </c>
      <c r="Z228" s="183"/>
      <c r="AA228" s="183" t="e">
        <f t="shared" ca="1" si="153"/>
        <v>#NAME?</v>
      </c>
      <c r="AB228" s="183">
        <f t="shared" si="153"/>
        <v>0</v>
      </c>
      <c r="AC228" s="178">
        <f t="shared" si="153"/>
        <v>95300</v>
      </c>
      <c r="AD228" s="178">
        <f t="shared" si="153"/>
        <v>95300</v>
      </c>
      <c r="AE228" s="178">
        <f>O228/M228*100</f>
        <v>175.01362078915827</v>
      </c>
      <c r="AF228" s="178">
        <f t="shared" si="150"/>
        <v>77.576921923930144</v>
      </c>
      <c r="AG228" s="178">
        <f t="shared" si="150"/>
        <v>114.10974244120942</v>
      </c>
      <c r="AH228" s="178">
        <f>AC228/Q228*100</f>
        <v>93.523061825318948</v>
      </c>
      <c r="AI228" s="183"/>
      <c r="AJ228" s="183">
        <v>141300</v>
      </c>
      <c r="AK228" s="171">
        <f t="shared" si="134"/>
        <v>118.30062430986155</v>
      </c>
      <c r="AL228" s="171">
        <f t="shared" si="135"/>
        <v>112.00835467445509</v>
      </c>
      <c r="AM228" s="171">
        <f t="shared" si="135"/>
        <v>113.22115384615385</v>
      </c>
      <c r="AN228" s="165"/>
      <c r="AO228" s="193"/>
      <c r="AP228" s="193" t="e">
        <f t="shared" ca="1" si="112"/>
        <v>#NAME?</v>
      </c>
      <c r="AQ228" s="200">
        <f>AQ388+AQ680+AQ1015+AQ1089</f>
        <v>84482.47</v>
      </c>
      <c r="AR228" s="204">
        <f t="shared" si="115"/>
        <v>118.30062430986155</v>
      </c>
      <c r="AS228" s="204">
        <f t="shared" si="116"/>
        <v>100</v>
      </c>
      <c r="AT228" s="204">
        <f t="shared" si="117"/>
        <v>118.30062430986155</v>
      </c>
      <c r="AU228" s="204">
        <f t="shared" si="118"/>
        <v>75.823256919343038</v>
      </c>
      <c r="AV228" s="204">
        <f t="shared" si="119"/>
        <v>75.823256919343038</v>
      </c>
    </row>
    <row r="229" spans="1:48" ht="12" customHeight="1">
      <c r="A229" s="53"/>
      <c r="B229" s="53"/>
      <c r="C229" s="53"/>
      <c r="D229" s="53"/>
      <c r="E229" s="53"/>
      <c r="F229" s="53"/>
      <c r="G229" s="53"/>
      <c r="H229" s="64">
        <v>3224</v>
      </c>
      <c r="I229" s="117"/>
      <c r="J229" s="118"/>
      <c r="K229" s="18" t="s">
        <v>243</v>
      </c>
      <c r="L229" s="130">
        <f t="shared" ref="L229:S229" si="154">L389+L539+L725+L1016+L1017+L1090+L1153</f>
        <v>21777</v>
      </c>
      <c r="M229" s="130">
        <f t="shared" si="154"/>
        <v>2890.3045988453114</v>
      </c>
      <c r="N229" s="131">
        <f t="shared" si="154"/>
        <v>106682</v>
      </c>
      <c r="O229" s="131">
        <f t="shared" si="154"/>
        <v>14159.134647289136</v>
      </c>
      <c r="P229" s="132">
        <f t="shared" si="154"/>
        <v>28200</v>
      </c>
      <c r="Q229" s="132">
        <f t="shared" si="154"/>
        <v>15400</v>
      </c>
      <c r="R229" s="159">
        <f t="shared" si="154"/>
        <v>9733</v>
      </c>
      <c r="S229" s="165" t="e">
        <f t="shared" ca="1" si="154"/>
        <v>#NAME?</v>
      </c>
      <c r="T229" s="165"/>
      <c r="U229" s="90" t="e">
        <f t="shared" ca="1" si="111"/>
        <v>#NAME?</v>
      </c>
      <c r="V229" s="200">
        <f>V389+V539+V725+V1016+V1017+V1090+V1153</f>
        <v>10900</v>
      </c>
      <c r="W229" s="200">
        <f>W389+W539+W725+W1016+W1017+W1090+W1153</f>
        <v>10900</v>
      </c>
      <c r="X229" s="159">
        <f t="shared" ref="X229:AD229" si="155">X389+X539+X725+X1016+X1017+X1090+X1153</f>
        <v>28900</v>
      </c>
      <c r="Y229" s="183">
        <f t="shared" si="155"/>
        <v>35600.1</v>
      </c>
      <c r="Z229" s="183"/>
      <c r="AA229" s="183" t="e">
        <f t="shared" ca="1" si="155"/>
        <v>#NAME?</v>
      </c>
      <c r="AB229" s="183">
        <f t="shared" si="155"/>
        <v>0</v>
      </c>
      <c r="AC229" s="178">
        <f t="shared" si="155"/>
        <v>33500</v>
      </c>
      <c r="AD229" s="178">
        <f t="shared" si="155"/>
        <v>33500</v>
      </c>
      <c r="AE229" s="178">
        <f>O229/M229*100</f>
        <v>489.88382238141162</v>
      </c>
      <c r="AF229" s="178">
        <f t="shared" si="150"/>
        <v>199.16471382238802</v>
      </c>
      <c r="AG229" s="178">
        <f t="shared" si="150"/>
        <v>54.609929078014183</v>
      </c>
      <c r="AH229" s="178">
        <f>AC229/Q229*100</f>
        <v>217.53246753246751</v>
      </c>
      <c r="AI229" s="183"/>
      <c r="AJ229" s="183">
        <v>35600.1</v>
      </c>
      <c r="AK229" s="171">
        <f t="shared" si="134"/>
        <v>111.99013664851536</v>
      </c>
      <c r="AL229" s="171">
        <f t="shared" si="135"/>
        <v>265.13761467889907</v>
      </c>
      <c r="AM229" s="171">
        <f t="shared" si="135"/>
        <v>123.18373702422146</v>
      </c>
      <c r="AN229" s="165"/>
      <c r="AO229" s="193"/>
      <c r="AP229" s="193" t="e">
        <f t="shared" ca="1" si="112"/>
        <v>#NAME?</v>
      </c>
      <c r="AQ229" s="200">
        <f>AQ389+AQ539+AQ725+AQ1016+AQ1017+AQ1090+AQ1153</f>
        <v>5847.01</v>
      </c>
      <c r="AR229" s="204">
        <f t="shared" si="115"/>
        <v>111.99013664851536</v>
      </c>
      <c r="AS229" s="204">
        <f t="shared" si="116"/>
        <v>100</v>
      </c>
      <c r="AT229" s="204">
        <f t="shared" si="117"/>
        <v>111.99013664851536</v>
      </c>
      <c r="AU229" s="204">
        <f t="shared" si="118"/>
        <v>53.642293577981647</v>
      </c>
      <c r="AV229" s="204">
        <f t="shared" si="119"/>
        <v>53.642293577981647</v>
      </c>
    </row>
    <row r="230" spans="1:48" ht="12" customHeight="1">
      <c r="A230" s="53"/>
      <c r="B230" s="53"/>
      <c r="C230" s="53"/>
      <c r="D230" s="53"/>
      <c r="E230" s="53"/>
      <c r="F230" s="53"/>
      <c r="G230" s="53"/>
      <c r="H230" s="64">
        <v>3225</v>
      </c>
      <c r="I230" s="117"/>
      <c r="J230" s="118"/>
      <c r="K230" s="18" t="s">
        <v>244</v>
      </c>
      <c r="L230" s="130">
        <f t="shared" ref="L230:S230" si="156">L390+L1018+L1091+L1154</f>
        <v>39449</v>
      </c>
      <c r="M230" s="130">
        <f t="shared" si="156"/>
        <v>5235.7820691485831</v>
      </c>
      <c r="N230" s="131">
        <f t="shared" si="156"/>
        <v>11502</v>
      </c>
      <c r="O230" s="131">
        <f t="shared" si="156"/>
        <v>1526.5777423850288</v>
      </c>
      <c r="P230" s="132">
        <f t="shared" si="156"/>
        <v>5600</v>
      </c>
      <c r="Q230" s="132">
        <f t="shared" si="156"/>
        <v>10400</v>
      </c>
      <c r="R230" s="159">
        <f t="shared" si="156"/>
        <v>8650</v>
      </c>
      <c r="S230" s="165">
        <f t="shared" si="156"/>
        <v>756</v>
      </c>
      <c r="T230" s="165"/>
      <c r="U230" s="90" t="e">
        <f t="shared" ca="1" si="111"/>
        <v>#NAME?</v>
      </c>
      <c r="V230" s="200">
        <f>V390+V1018+V1091+V1154</f>
        <v>15400</v>
      </c>
      <c r="W230" s="200">
        <f>W390+W1018+W1091+W1154</f>
        <v>15400</v>
      </c>
      <c r="X230" s="159">
        <f t="shared" ref="X230:AD230" si="157">X390+X1018+X1091+X1154</f>
        <v>11800</v>
      </c>
      <c r="Y230" s="183">
        <f t="shared" si="157"/>
        <v>11700.2</v>
      </c>
      <c r="Z230" s="183"/>
      <c r="AA230" s="183" t="e">
        <f t="shared" ca="1" si="157"/>
        <v>#NAME?</v>
      </c>
      <c r="AB230" s="183">
        <f t="shared" si="157"/>
        <v>0</v>
      </c>
      <c r="AC230" s="178">
        <f t="shared" si="157"/>
        <v>6100</v>
      </c>
      <c r="AD230" s="178">
        <f t="shared" si="157"/>
        <v>6100</v>
      </c>
      <c r="AE230" s="178">
        <f>O230/M230*100</f>
        <v>29.156632614261451</v>
      </c>
      <c r="AF230" s="178">
        <f t="shared" si="150"/>
        <v>366.83359415753785</v>
      </c>
      <c r="AG230" s="178">
        <f t="shared" si="150"/>
        <v>185.71428571428572</v>
      </c>
      <c r="AH230" s="178">
        <f>AC230/Q230*100</f>
        <v>58.653846153846153</v>
      </c>
      <c r="AI230" s="183"/>
      <c r="AJ230" s="183">
        <v>11700.2</v>
      </c>
      <c r="AK230" s="171">
        <f t="shared" si="134"/>
        <v>178.03468208092485</v>
      </c>
      <c r="AL230" s="171">
        <f t="shared" si="135"/>
        <v>76.623376623376629</v>
      </c>
      <c r="AM230" s="171">
        <f t="shared" si="135"/>
        <v>99.154237288135604</v>
      </c>
      <c r="AN230" s="165"/>
      <c r="AO230" s="193"/>
      <c r="AP230" s="193" t="e">
        <f t="shared" ca="1" si="112"/>
        <v>#NAME?</v>
      </c>
      <c r="AQ230" s="200">
        <f>AQ390+AQ1018+AQ1091+AQ1154</f>
        <v>14776.6</v>
      </c>
      <c r="AR230" s="204">
        <f t="shared" si="115"/>
        <v>178.03468208092485</v>
      </c>
      <c r="AS230" s="204">
        <f t="shared" si="116"/>
        <v>100</v>
      </c>
      <c r="AT230" s="204">
        <f t="shared" si="117"/>
        <v>178.03468208092485</v>
      </c>
      <c r="AU230" s="204">
        <f t="shared" si="118"/>
        <v>95.951948051948051</v>
      </c>
      <c r="AV230" s="204">
        <f t="shared" si="119"/>
        <v>95.951948051948051</v>
      </c>
    </row>
    <row r="231" spans="1:48" ht="12" customHeight="1">
      <c r="A231" s="53"/>
      <c r="B231" s="53"/>
      <c r="C231" s="53"/>
      <c r="D231" s="53"/>
      <c r="E231" s="53"/>
      <c r="F231" s="53"/>
      <c r="G231" s="53"/>
      <c r="H231" s="64">
        <v>3227</v>
      </c>
      <c r="I231" s="117"/>
      <c r="J231" s="118"/>
      <c r="K231" s="18" t="s">
        <v>245</v>
      </c>
      <c r="L231" s="130">
        <f t="shared" ref="L231:S231" si="158">L391</f>
        <v>0</v>
      </c>
      <c r="M231" s="130">
        <f t="shared" si="158"/>
        <v>0</v>
      </c>
      <c r="N231" s="131">
        <f t="shared" si="158"/>
        <v>0</v>
      </c>
      <c r="O231" s="131">
        <f t="shared" si="158"/>
        <v>0</v>
      </c>
      <c r="P231" s="132">
        <f t="shared" si="158"/>
        <v>1300</v>
      </c>
      <c r="Q231" s="132">
        <f t="shared" si="158"/>
        <v>1300</v>
      </c>
      <c r="R231" s="159">
        <f t="shared" si="158"/>
        <v>0</v>
      </c>
      <c r="S231" s="165" t="e">
        <f t="shared" ca="1" si="158"/>
        <v>#NAME?</v>
      </c>
      <c r="T231" s="165"/>
      <c r="U231" s="90" t="e">
        <f t="shared" ca="1" si="111"/>
        <v>#NAME?</v>
      </c>
      <c r="V231" s="200">
        <f>V391</f>
        <v>3000</v>
      </c>
      <c r="W231" s="200">
        <f>W391</f>
        <v>3000</v>
      </c>
      <c r="X231" s="159">
        <f>X391</f>
        <v>1000</v>
      </c>
      <c r="Y231" s="183">
        <f>Y391</f>
        <v>2000</v>
      </c>
      <c r="Z231" s="183"/>
      <c r="AA231" s="183" t="e">
        <f ca="1">AA391</f>
        <v>#NAME?</v>
      </c>
      <c r="AB231" s="183">
        <f>AB391</f>
        <v>0</v>
      </c>
      <c r="AC231" s="178">
        <f>AC391</f>
        <v>1000</v>
      </c>
      <c r="AD231" s="178">
        <f>AD391</f>
        <v>1000</v>
      </c>
      <c r="AE231" s="178"/>
      <c r="AF231" s="178"/>
      <c r="AG231" s="178"/>
      <c r="AH231" s="178"/>
      <c r="AI231" s="183"/>
      <c r="AJ231" s="183">
        <v>2000</v>
      </c>
      <c r="AK231" s="171"/>
      <c r="AL231" s="171">
        <f t="shared" si="135"/>
        <v>33.333333333333329</v>
      </c>
      <c r="AM231" s="171">
        <f t="shared" si="135"/>
        <v>200</v>
      </c>
      <c r="AN231" s="165"/>
      <c r="AO231" s="193"/>
      <c r="AP231" s="193" t="e">
        <f t="shared" ca="1" si="112"/>
        <v>#NAME?</v>
      </c>
      <c r="AQ231" s="200">
        <f>AQ391</f>
        <v>2839.03</v>
      </c>
      <c r="AR231" s="204"/>
      <c r="AS231" s="204">
        <f t="shared" si="116"/>
        <v>100</v>
      </c>
      <c r="AT231" s="204"/>
      <c r="AU231" s="204">
        <f t="shared" si="118"/>
        <v>94.634333333333345</v>
      </c>
      <c r="AV231" s="204">
        <f t="shared" si="119"/>
        <v>94.634333333333345</v>
      </c>
    </row>
    <row r="232" spans="1:48" ht="12" customHeight="1">
      <c r="A232" s="53"/>
      <c r="B232" s="53"/>
      <c r="C232" s="53"/>
      <c r="D232" s="53"/>
      <c r="E232" s="53"/>
      <c r="F232" s="53"/>
      <c r="G232" s="53"/>
      <c r="H232" s="64"/>
      <c r="I232" s="117"/>
      <c r="J232" s="118"/>
      <c r="K232" s="18"/>
      <c r="L232" s="130"/>
      <c r="M232" s="130"/>
      <c r="N232" s="131"/>
      <c r="O232" s="131"/>
      <c r="P232" s="132"/>
      <c r="Q232" s="132"/>
      <c r="R232" s="159"/>
      <c r="S232" s="165"/>
      <c r="T232" s="165"/>
      <c r="U232" s="90" t="e">
        <f t="shared" ca="1" si="111"/>
        <v>#NAME?</v>
      </c>
      <c r="V232" s="200"/>
      <c r="W232" s="200"/>
      <c r="X232" s="159"/>
      <c r="Y232" s="183"/>
      <c r="Z232" s="183"/>
      <c r="AA232" s="183"/>
      <c r="AB232" s="183"/>
      <c r="AC232" s="178"/>
      <c r="AD232" s="178"/>
      <c r="AE232" s="178"/>
      <c r="AF232" s="178"/>
      <c r="AG232" s="178"/>
      <c r="AH232" s="178"/>
      <c r="AI232" s="183"/>
      <c r="AJ232" s="183"/>
      <c r="AK232" s="171"/>
      <c r="AL232" s="171"/>
      <c r="AM232" s="171"/>
      <c r="AN232" s="165"/>
      <c r="AO232" s="193"/>
      <c r="AP232" s="193" t="e">
        <f t="shared" ca="1" si="112"/>
        <v>#NAME?</v>
      </c>
      <c r="AQ232" s="200"/>
      <c r="AR232" s="204"/>
      <c r="AS232" s="204"/>
      <c r="AT232" s="204"/>
      <c r="AU232" s="204"/>
      <c r="AV232" s="204"/>
    </row>
    <row r="233" spans="1:48" ht="12" customHeight="1">
      <c r="A233" s="62"/>
      <c r="B233" s="62"/>
      <c r="C233" s="62"/>
      <c r="D233" s="62"/>
      <c r="E233" s="62"/>
      <c r="F233" s="62"/>
      <c r="G233" s="62"/>
      <c r="H233" s="63">
        <v>323</v>
      </c>
      <c r="I233" s="128"/>
      <c r="J233" s="129"/>
      <c r="K233" s="19" t="s">
        <v>246</v>
      </c>
      <c r="L233" s="112">
        <f t="shared" ref="L233:S233" si="159">L234+L235+L236+L237+L238+L239+L240+L241+L242</f>
        <v>4721874</v>
      </c>
      <c r="M233" s="112">
        <f t="shared" si="159"/>
        <v>626700.37826000398</v>
      </c>
      <c r="N233" s="113">
        <f t="shared" si="159"/>
        <v>3965944</v>
      </c>
      <c r="O233" s="113">
        <f t="shared" si="159"/>
        <v>526371.22569513565</v>
      </c>
      <c r="P233" s="114">
        <f t="shared" si="159"/>
        <v>689400</v>
      </c>
      <c r="Q233" s="114">
        <f t="shared" si="159"/>
        <v>766900</v>
      </c>
      <c r="R233" s="88">
        <f t="shared" si="159"/>
        <v>642674</v>
      </c>
      <c r="S233" s="90" t="e">
        <f t="shared" ca="1" si="159"/>
        <v>#NAME?</v>
      </c>
      <c r="T233" s="90"/>
      <c r="U233" s="90" t="e">
        <f t="shared" ca="1" si="111"/>
        <v>#NAME?</v>
      </c>
      <c r="V233" s="200">
        <f>V234+V235+V236+V237+V238+V239+V240+V241+V242</f>
        <v>1059319.92</v>
      </c>
      <c r="W233" s="200">
        <f>W234+W235+W236+W237+W238+W239+W240+W241+W242</f>
        <v>1095621.92</v>
      </c>
      <c r="X233" s="88">
        <f>X234+X235+X236+X237+X238+X239+X240+X241+X242</f>
        <v>1042590</v>
      </c>
      <c r="Y233" s="171">
        <f>Y234+Y235+Y236+Y237+Y238+Y239+Y240+Y241+Y242</f>
        <v>1316950.7999999998</v>
      </c>
      <c r="Z233" s="171"/>
      <c r="AA233" s="171" t="e">
        <f ca="1">AA234+AA235+AA236+AA237+AA238+AA239+AA240+AA241+AA242</f>
        <v>#NAME?</v>
      </c>
      <c r="AB233" s="171">
        <f>AB234+AB235+AB236+AB237+AB238+AB239+AB240+AB241+AB242</f>
        <v>0</v>
      </c>
      <c r="AC233" s="172">
        <f>AC234+AC235+AC236+AC237+AC238+AC239+AC240+AC241+AC242</f>
        <v>719200</v>
      </c>
      <c r="AD233" s="172">
        <f>AD234+AD235+AD236+AD237+AD238+AD239+AD240+AD241+AD242</f>
        <v>719200</v>
      </c>
      <c r="AE233" s="178">
        <f t="shared" ref="AE233:AE242" si="160">O233/M233*100</f>
        <v>83.990890057633877</v>
      </c>
      <c r="AF233" s="178">
        <f t="shared" ref="AF233:AG242" si="161">P233/O233*100</f>
        <v>130.97220485211091</v>
      </c>
      <c r="AG233" s="178">
        <f t="shared" si="161"/>
        <v>111.24165941398316</v>
      </c>
      <c r="AH233" s="178">
        <f t="shared" ref="AH233:AH242" si="162">AC233/Q233*100</f>
        <v>93.780153866214633</v>
      </c>
      <c r="AI233" s="171"/>
      <c r="AJ233" s="171">
        <v>1316950.8</v>
      </c>
      <c r="AK233" s="171">
        <f t="shared" si="134"/>
        <v>170.47864391588891</v>
      </c>
      <c r="AL233" s="171">
        <f t="shared" si="135"/>
        <v>95.159651424279659</v>
      </c>
      <c r="AM233" s="171">
        <f t="shared" si="135"/>
        <v>126.31531090841077</v>
      </c>
      <c r="AN233" s="90"/>
      <c r="AO233" s="193"/>
      <c r="AP233" s="193" t="e">
        <f t="shared" ca="1" si="112"/>
        <v>#NAME?</v>
      </c>
      <c r="AQ233" s="200">
        <f>AQ234+AQ235+AQ236+AQ237+AQ238+AQ239+AQ240+AQ241+AQ242</f>
        <v>1046485.8599999998</v>
      </c>
      <c r="AR233" s="204">
        <f t="shared" ref="AR233:AR263" si="163">V233/R233*100</f>
        <v>164.83005691843763</v>
      </c>
      <c r="AS233" s="204">
        <f t="shared" ref="AS233:AS263" si="164">W233/V233*100</f>
        <v>103.4269156384787</v>
      </c>
      <c r="AT233" s="204">
        <f t="shared" ref="AT233:AT263" si="165">W233/R233*100</f>
        <v>170.47864391588891</v>
      </c>
      <c r="AU233" s="204">
        <f t="shared" ref="AU233:AU263" si="166">AQ233/W233*100</f>
        <v>95.51523576673236</v>
      </c>
      <c r="AV233" s="204">
        <f t="shared" ref="AV233:AV263" si="167">AQ233/W233*100</f>
        <v>95.51523576673236</v>
      </c>
    </row>
    <row r="234" spans="1:48" ht="12" customHeight="1">
      <c r="A234" s="53"/>
      <c r="B234" s="53"/>
      <c r="C234" s="53"/>
      <c r="D234" s="53"/>
      <c r="E234" s="53"/>
      <c r="F234" s="53"/>
      <c r="G234" s="53"/>
      <c r="H234" s="64">
        <v>3231</v>
      </c>
      <c r="I234" s="117"/>
      <c r="J234" s="118"/>
      <c r="K234" s="18" t="s">
        <v>247</v>
      </c>
      <c r="L234" s="130">
        <f t="shared" ref="L234:S234" si="168">L394+L1021+L1094+L1157</f>
        <v>111772</v>
      </c>
      <c r="M234" s="130">
        <f t="shared" si="168"/>
        <v>14834.693742119582</v>
      </c>
      <c r="N234" s="131">
        <f t="shared" si="168"/>
        <v>125470</v>
      </c>
      <c r="O234" s="131">
        <f t="shared" si="168"/>
        <v>16652.730771783128</v>
      </c>
      <c r="P234" s="132">
        <f t="shared" si="168"/>
        <v>20700</v>
      </c>
      <c r="Q234" s="132">
        <f t="shared" si="168"/>
        <v>20700</v>
      </c>
      <c r="R234" s="159">
        <f t="shared" si="168"/>
        <v>15755</v>
      </c>
      <c r="S234" s="165">
        <f t="shared" si="168"/>
        <v>21508</v>
      </c>
      <c r="T234" s="165"/>
      <c r="U234" s="90" t="e">
        <f t="shared" ca="1" si="111"/>
        <v>#NAME?</v>
      </c>
      <c r="V234" s="200">
        <f>V394+V1021+V1094+V1157</f>
        <v>30520</v>
      </c>
      <c r="W234" s="200">
        <f>W394+W1021+W1094+W1157</f>
        <v>30520</v>
      </c>
      <c r="X234" s="159">
        <f t="shared" ref="X234:AD234" si="169">X394+X1021+X1094+X1157</f>
        <v>37200</v>
      </c>
      <c r="Y234" s="183">
        <f t="shared" si="169"/>
        <v>42300.1</v>
      </c>
      <c r="Z234" s="183"/>
      <c r="AA234" s="183" t="e">
        <f t="shared" ca="1" si="169"/>
        <v>#NAME?</v>
      </c>
      <c r="AB234" s="183">
        <f t="shared" si="169"/>
        <v>0</v>
      </c>
      <c r="AC234" s="178">
        <f t="shared" si="169"/>
        <v>22000</v>
      </c>
      <c r="AD234" s="178">
        <f t="shared" si="169"/>
        <v>22000</v>
      </c>
      <c r="AE234" s="178">
        <f t="shared" si="160"/>
        <v>112.2553054432237</v>
      </c>
      <c r="AF234" s="178">
        <f t="shared" si="161"/>
        <v>124.30393719614253</v>
      </c>
      <c r="AG234" s="178">
        <f t="shared" si="161"/>
        <v>100</v>
      </c>
      <c r="AH234" s="178">
        <f t="shared" si="162"/>
        <v>106.28019323671498</v>
      </c>
      <c r="AI234" s="183"/>
      <c r="AJ234" s="183">
        <v>42300.1</v>
      </c>
      <c r="AK234" s="171">
        <f t="shared" si="134"/>
        <v>193.71628054585847</v>
      </c>
      <c r="AL234" s="171">
        <f t="shared" si="135"/>
        <v>121.8872870249017</v>
      </c>
      <c r="AM234" s="171">
        <f t="shared" si="135"/>
        <v>113.70994623655915</v>
      </c>
      <c r="AN234" s="165"/>
      <c r="AO234" s="193"/>
      <c r="AP234" s="193" t="e">
        <f t="shared" ca="1" si="112"/>
        <v>#NAME?</v>
      </c>
      <c r="AQ234" s="200">
        <f>AQ394+AQ1021+AQ1094+AQ1157</f>
        <v>28592.879999999997</v>
      </c>
      <c r="AR234" s="204">
        <f t="shared" si="163"/>
        <v>193.71628054585847</v>
      </c>
      <c r="AS234" s="204">
        <f t="shared" si="164"/>
        <v>100</v>
      </c>
      <c r="AT234" s="204">
        <f t="shared" si="165"/>
        <v>193.71628054585847</v>
      </c>
      <c r="AU234" s="204">
        <f t="shared" si="166"/>
        <v>93.685714285714269</v>
      </c>
      <c r="AV234" s="204">
        <f t="shared" si="167"/>
        <v>93.685714285714269</v>
      </c>
    </row>
    <row r="235" spans="1:48" ht="12" customHeight="1">
      <c r="A235" s="53"/>
      <c r="B235" s="53"/>
      <c r="C235" s="53"/>
      <c r="D235" s="53"/>
      <c r="E235" s="53"/>
      <c r="F235" s="53"/>
      <c r="G235" s="53"/>
      <c r="H235" s="64">
        <v>3232</v>
      </c>
      <c r="I235" s="117"/>
      <c r="J235" s="118"/>
      <c r="K235" s="18" t="s">
        <v>248</v>
      </c>
      <c r="L235" s="130">
        <f t="shared" ref="L235:S235" si="170">L395+L553+L554+L555+L556+L565+L683+L711+L728+L794+L850+L851+L1022+L1023+L1095+L1158+L1178+L1179</f>
        <v>2714947</v>
      </c>
      <c r="M235" s="130">
        <f t="shared" si="170"/>
        <v>360335.39053686376</v>
      </c>
      <c r="N235" s="131">
        <f t="shared" si="170"/>
        <v>2569034</v>
      </c>
      <c r="O235" s="131">
        <f t="shared" si="170"/>
        <v>340969.40739266045</v>
      </c>
      <c r="P235" s="132">
        <f t="shared" si="170"/>
        <v>357800</v>
      </c>
      <c r="Q235" s="132">
        <f t="shared" si="170"/>
        <v>439300</v>
      </c>
      <c r="R235" s="159">
        <f t="shared" si="170"/>
        <v>409710</v>
      </c>
      <c r="S235" s="165" t="e">
        <f t="shared" ca="1" si="170"/>
        <v>#NAME?</v>
      </c>
      <c r="T235" s="165"/>
      <c r="U235" s="90" t="e">
        <f t="shared" ca="1" si="111"/>
        <v>#NAME?</v>
      </c>
      <c r="V235" s="200">
        <f>V395+V553+V554+V555+V556+V565+V683+V711+V728+V794+V850+V851+V1022+V1023+V1095+V1158+V1178+V1179</f>
        <v>665980</v>
      </c>
      <c r="W235" s="200">
        <f>W395+W553+W554+W555+W556+W565+W683+W711+W728+W794+W850+W851+W1022+W1023+W1095+W1158+W1178+W1179</f>
        <v>699677</v>
      </c>
      <c r="X235" s="159">
        <f t="shared" ref="X235:AD235" si="171">X395+X553+X554+X555+X556+X565+X683+X711+X728+X794+X850+X851+X1022+X1023+X1095+X1158+X1178+X1179</f>
        <v>592200</v>
      </c>
      <c r="Y235" s="183">
        <f t="shared" si="171"/>
        <v>805400.2</v>
      </c>
      <c r="Z235" s="183"/>
      <c r="AA235" s="183" t="e">
        <f t="shared" ca="1" si="171"/>
        <v>#NAME?</v>
      </c>
      <c r="AB235" s="183">
        <f t="shared" si="171"/>
        <v>0</v>
      </c>
      <c r="AC235" s="178">
        <f t="shared" si="171"/>
        <v>380000</v>
      </c>
      <c r="AD235" s="178">
        <f t="shared" si="171"/>
        <v>380000</v>
      </c>
      <c r="AE235" s="178">
        <f t="shared" si="160"/>
        <v>94.625567276267276</v>
      </c>
      <c r="AF235" s="178">
        <f t="shared" si="161"/>
        <v>104.93610049536129</v>
      </c>
      <c r="AG235" s="178">
        <f t="shared" si="161"/>
        <v>122.77808831749581</v>
      </c>
      <c r="AH235" s="178">
        <f t="shared" si="162"/>
        <v>86.501251991805134</v>
      </c>
      <c r="AI235" s="183"/>
      <c r="AJ235" s="183">
        <v>805400.2</v>
      </c>
      <c r="AK235" s="171">
        <f t="shared" si="134"/>
        <v>170.77371799565546</v>
      </c>
      <c r="AL235" s="171">
        <f t="shared" si="135"/>
        <v>84.639054878179493</v>
      </c>
      <c r="AM235" s="171">
        <f t="shared" si="135"/>
        <v>136.00138466734211</v>
      </c>
      <c r="AN235" s="165"/>
      <c r="AO235" s="193"/>
      <c r="AP235" s="193" t="e">
        <f t="shared" ca="1" si="112"/>
        <v>#NAME?</v>
      </c>
      <c r="AQ235" s="200">
        <f>AQ395+AQ553+AQ554+AQ555+AQ556+AQ565+AQ683+AQ711+AQ728+AQ794+AQ850+AQ851+AQ1022+AQ1023+AQ1095+AQ1158+AQ1178+AQ1179</f>
        <v>679754.90999999992</v>
      </c>
      <c r="AR235" s="204">
        <f t="shared" si="163"/>
        <v>162.54912010934564</v>
      </c>
      <c r="AS235" s="204">
        <f t="shared" si="164"/>
        <v>105.05976155440105</v>
      </c>
      <c r="AT235" s="204">
        <f t="shared" si="165"/>
        <v>170.77371799565546</v>
      </c>
      <c r="AU235" s="204">
        <f t="shared" si="166"/>
        <v>97.152673304967848</v>
      </c>
      <c r="AV235" s="204">
        <f t="shared" si="167"/>
        <v>97.152673304967848</v>
      </c>
    </row>
    <row r="236" spans="1:48" ht="12" customHeight="1">
      <c r="A236" s="53"/>
      <c r="B236" s="53"/>
      <c r="C236" s="53"/>
      <c r="D236" s="53"/>
      <c r="E236" s="53"/>
      <c r="F236" s="53"/>
      <c r="G236" s="53"/>
      <c r="H236" s="64">
        <v>3233</v>
      </c>
      <c r="I236" s="117"/>
      <c r="J236" s="118"/>
      <c r="K236" s="18" t="s">
        <v>249</v>
      </c>
      <c r="L236" s="130">
        <f t="shared" ref="L236:S236" si="172">L415+L603+L1024</f>
        <v>77779</v>
      </c>
      <c r="M236" s="130">
        <f t="shared" si="172"/>
        <v>10323.047315681199</v>
      </c>
      <c r="N236" s="131">
        <f t="shared" si="172"/>
        <v>39189</v>
      </c>
      <c r="O236" s="131">
        <f t="shared" si="172"/>
        <v>5201.27413896078</v>
      </c>
      <c r="P236" s="132">
        <f t="shared" si="172"/>
        <v>16400</v>
      </c>
      <c r="Q236" s="132">
        <f t="shared" si="172"/>
        <v>11500</v>
      </c>
      <c r="R236" s="159">
        <f t="shared" si="172"/>
        <v>3957</v>
      </c>
      <c r="S236" s="165" t="e">
        <f t="shared" ca="1" si="172"/>
        <v>#NAME?</v>
      </c>
      <c r="T236" s="165"/>
      <c r="U236" s="90" t="e">
        <f t="shared" ca="1" si="111"/>
        <v>#NAME?</v>
      </c>
      <c r="V236" s="200">
        <f>V415+V603+V1024</f>
        <v>11730</v>
      </c>
      <c r="W236" s="200">
        <f>W415+W603+W1024</f>
        <v>11730</v>
      </c>
      <c r="X236" s="159">
        <f t="shared" ref="X236:AD236" si="173">X415+X603+X1024</f>
        <v>17300</v>
      </c>
      <c r="Y236" s="183">
        <f t="shared" si="173"/>
        <v>21350.2</v>
      </c>
      <c r="Z236" s="183"/>
      <c r="AA236" s="183" t="e">
        <f t="shared" ca="1" si="173"/>
        <v>#NAME?</v>
      </c>
      <c r="AB236" s="183">
        <f t="shared" si="173"/>
        <v>0</v>
      </c>
      <c r="AC236" s="178">
        <f t="shared" si="173"/>
        <v>17500</v>
      </c>
      <c r="AD236" s="178">
        <f t="shared" si="173"/>
        <v>17500</v>
      </c>
      <c r="AE236" s="178">
        <f t="shared" si="160"/>
        <v>50.385065377544066</v>
      </c>
      <c r="AF236" s="178">
        <f t="shared" si="161"/>
        <v>315.30735665620455</v>
      </c>
      <c r="AG236" s="178">
        <f t="shared" si="161"/>
        <v>70.121951219512198</v>
      </c>
      <c r="AH236" s="178">
        <f t="shared" si="162"/>
        <v>152.17391304347828</v>
      </c>
      <c r="AI236" s="183"/>
      <c r="AJ236" s="183">
        <v>21350.2</v>
      </c>
      <c r="AK236" s="171">
        <f t="shared" si="134"/>
        <v>296.43669446550416</v>
      </c>
      <c r="AL236" s="171">
        <f t="shared" si="135"/>
        <v>147.4850809889173</v>
      </c>
      <c r="AM236" s="171">
        <f t="shared" si="135"/>
        <v>123.41156069364163</v>
      </c>
      <c r="AN236" s="165"/>
      <c r="AO236" s="193"/>
      <c r="AP236" s="193" t="e">
        <f t="shared" ca="1" si="112"/>
        <v>#NAME?</v>
      </c>
      <c r="AQ236" s="200">
        <f>AQ415+AQ603+AQ1024</f>
        <v>9590.82</v>
      </c>
      <c r="AR236" s="204">
        <f t="shared" si="163"/>
        <v>296.43669446550416</v>
      </c>
      <c r="AS236" s="204">
        <f t="shared" si="164"/>
        <v>100</v>
      </c>
      <c r="AT236" s="204">
        <f t="shared" si="165"/>
        <v>296.43669446550416</v>
      </c>
      <c r="AU236" s="204">
        <f t="shared" si="166"/>
        <v>81.763171355498727</v>
      </c>
      <c r="AV236" s="204">
        <f t="shared" si="167"/>
        <v>81.763171355498727</v>
      </c>
    </row>
    <row r="237" spans="1:48" ht="12" customHeight="1">
      <c r="A237" s="53"/>
      <c r="B237" s="53"/>
      <c r="C237" s="53"/>
      <c r="D237" s="53"/>
      <c r="E237" s="53"/>
      <c r="F237" s="53"/>
      <c r="G237" s="53"/>
      <c r="H237" s="64">
        <v>3234</v>
      </c>
      <c r="I237" s="117"/>
      <c r="J237" s="118"/>
      <c r="K237" s="18" t="s">
        <v>250</v>
      </c>
      <c r="L237" s="130">
        <f t="shared" ref="L237:S237" si="174">L396+L619+L718+L1025+L1096+L1159</f>
        <v>645212</v>
      </c>
      <c r="M237" s="130">
        <f t="shared" si="174"/>
        <v>85634.348662817705</v>
      </c>
      <c r="N237" s="131">
        <f t="shared" si="174"/>
        <v>312045</v>
      </c>
      <c r="O237" s="131">
        <f t="shared" si="174"/>
        <v>41415.488751741985</v>
      </c>
      <c r="P237" s="132">
        <f t="shared" si="174"/>
        <v>97000</v>
      </c>
      <c r="Q237" s="132">
        <f t="shared" si="174"/>
        <v>97700</v>
      </c>
      <c r="R237" s="159">
        <f t="shared" si="174"/>
        <v>43301</v>
      </c>
      <c r="S237" s="165" t="e">
        <f t="shared" ca="1" si="174"/>
        <v>#NAME?</v>
      </c>
      <c r="T237" s="165"/>
      <c r="U237" s="90" t="e">
        <f t="shared" ca="1" si="111"/>
        <v>#NAME?</v>
      </c>
      <c r="V237" s="200">
        <f>V396+V619+V718+V1025+V1096+V1159</f>
        <v>99720</v>
      </c>
      <c r="W237" s="200">
        <f>W396+W619+W718+W1025+W1096+W1159</f>
        <v>99720</v>
      </c>
      <c r="X237" s="159">
        <f t="shared" ref="X237:AD237" si="175">X396+X619+X718+X1025+X1096+X1159</f>
        <v>109400</v>
      </c>
      <c r="Y237" s="183">
        <f t="shared" si="175"/>
        <v>132000.20000000001</v>
      </c>
      <c r="Z237" s="183"/>
      <c r="AA237" s="183" t="e">
        <f t="shared" ca="1" si="175"/>
        <v>#NAME?</v>
      </c>
      <c r="AB237" s="183">
        <f t="shared" si="175"/>
        <v>0</v>
      </c>
      <c r="AC237" s="178">
        <f t="shared" si="175"/>
        <v>101100</v>
      </c>
      <c r="AD237" s="178">
        <f t="shared" si="175"/>
        <v>101100</v>
      </c>
      <c r="AE237" s="178">
        <f t="shared" si="160"/>
        <v>48.363173654550749</v>
      </c>
      <c r="AF237" s="178">
        <f t="shared" si="161"/>
        <v>234.21189251550257</v>
      </c>
      <c r="AG237" s="178">
        <f t="shared" si="161"/>
        <v>100.72164948453607</v>
      </c>
      <c r="AH237" s="178">
        <f t="shared" si="162"/>
        <v>103.48004094165815</v>
      </c>
      <c r="AI237" s="183"/>
      <c r="AJ237" s="183">
        <v>132000.20000000001</v>
      </c>
      <c r="AK237" s="171">
        <f t="shared" si="134"/>
        <v>230.29491235768228</v>
      </c>
      <c r="AL237" s="171">
        <f t="shared" si="135"/>
        <v>109.70718010429201</v>
      </c>
      <c r="AM237" s="171">
        <f t="shared" si="135"/>
        <v>120.6583180987203</v>
      </c>
      <c r="AN237" s="165"/>
      <c r="AO237" s="193"/>
      <c r="AP237" s="193" t="e">
        <f t="shared" ca="1" si="112"/>
        <v>#NAME?</v>
      </c>
      <c r="AQ237" s="200">
        <f>AQ396+AQ619+AQ718+AQ1025+AQ1096+AQ1159</f>
        <v>82856.539999999994</v>
      </c>
      <c r="AR237" s="204">
        <f t="shared" si="163"/>
        <v>230.29491235768228</v>
      </c>
      <c r="AS237" s="204">
        <f t="shared" si="164"/>
        <v>100</v>
      </c>
      <c r="AT237" s="204">
        <f t="shared" si="165"/>
        <v>230.29491235768228</v>
      </c>
      <c r="AU237" s="204">
        <f t="shared" si="166"/>
        <v>83.089189731247487</v>
      </c>
      <c r="AV237" s="204">
        <f t="shared" si="167"/>
        <v>83.089189731247487</v>
      </c>
    </row>
    <row r="238" spans="1:48" ht="12" customHeight="1">
      <c r="A238" s="53"/>
      <c r="B238" s="53"/>
      <c r="C238" s="53"/>
      <c r="D238" s="53"/>
      <c r="E238" s="53"/>
      <c r="F238" s="53"/>
      <c r="G238" s="53"/>
      <c r="H238" s="64">
        <v>3235</v>
      </c>
      <c r="I238" s="117"/>
      <c r="J238" s="118"/>
      <c r="K238" s="18" t="s">
        <v>251</v>
      </c>
      <c r="L238" s="130">
        <f t="shared" ref="L238:S238" si="176">L416+L417+L828</f>
        <v>63720</v>
      </c>
      <c r="M238" s="130">
        <f t="shared" si="176"/>
        <v>8457.0973521799715</v>
      </c>
      <c r="N238" s="131">
        <f t="shared" si="176"/>
        <v>17000</v>
      </c>
      <c r="O238" s="131">
        <f t="shared" si="176"/>
        <v>2256.2877430486428</v>
      </c>
      <c r="P238" s="132">
        <f t="shared" si="176"/>
        <v>5800</v>
      </c>
      <c r="Q238" s="132">
        <f t="shared" si="176"/>
        <v>6600</v>
      </c>
      <c r="R238" s="159">
        <f t="shared" si="176"/>
        <v>3450</v>
      </c>
      <c r="S238" s="165" t="e">
        <f t="shared" ca="1" si="176"/>
        <v>#NAME?</v>
      </c>
      <c r="T238" s="165"/>
      <c r="U238" s="90" t="e">
        <f t="shared" ca="1" si="111"/>
        <v>#NAME?</v>
      </c>
      <c r="V238" s="200">
        <f>V416+V417+V828</f>
        <v>2800</v>
      </c>
      <c r="W238" s="200">
        <f>W416+W417+W828</f>
        <v>6176</v>
      </c>
      <c r="X238" s="159">
        <f>X416+X417+X828</f>
        <v>500</v>
      </c>
      <c r="Y238" s="183">
        <f>Y416+Y417+Y828</f>
        <v>1000</v>
      </c>
      <c r="Z238" s="183"/>
      <c r="AA238" s="183" t="e">
        <f ca="1">AA416+AA417+AA828</f>
        <v>#NAME?</v>
      </c>
      <c r="AB238" s="183">
        <f>AB416+AB417+AB828</f>
        <v>0</v>
      </c>
      <c r="AC238" s="178">
        <f>AC416+AC417+AC828</f>
        <v>1000</v>
      </c>
      <c r="AD238" s="178">
        <f>AD416+AD417+AD828</f>
        <v>1000</v>
      </c>
      <c r="AE238" s="178">
        <f t="shared" si="160"/>
        <v>26.679221594475834</v>
      </c>
      <c r="AF238" s="178">
        <f t="shared" si="161"/>
        <v>257.05941176470589</v>
      </c>
      <c r="AG238" s="178">
        <f t="shared" si="161"/>
        <v>113.79310344827587</v>
      </c>
      <c r="AH238" s="178">
        <f t="shared" si="162"/>
        <v>15.151515151515152</v>
      </c>
      <c r="AI238" s="183"/>
      <c r="AJ238" s="183">
        <v>1000</v>
      </c>
      <c r="AK238" s="171">
        <f t="shared" si="134"/>
        <v>179.01449275362319</v>
      </c>
      <c r="AL238" s="171">
        <f t="shared" si="135"/>
        <v>8.0958549222797931</v>
      </c>
      <c r="AM238" s="171">
        <f t="shared" si="135"/>
        <v>200</v>
      </c>
      <c r="AN238" s="165"/>
      <c r="AO238" s="193"/>
      <c r="AP238" s="193" t="e">
        <f t="shared" ca="1" si="112"/>
        <v>#NAME?</v>
      </c>
      <c r="AQ238" s="200">
        <f>AQ416+AQ417+AQ828</f>
        <v>5276.21</v>
      </c>
      <c r="AR238" s="204">
        <f t="shared" si="163"/>
        <v>81.159420289855078</v>
      </c>
      <c r="AS238" s="204">
        <f t="shared" si="164"/>
        <v>220.57142857142856</v>
      </c>
      <c r="AT238" s="204">
        <f t="shared" si="165"/>
        <v>179.01449275362319</v>
      </c>
      <c r="AU238" s="204">
        <f t="shared" si="166"/>
        <v>85.430861398963728</v>
      </c>
      <c r="AV238" s="204">
        <f t="shared" si="167"/>
        <v>85.430861398963728</v>
      </c>
    </row>
    <row r="239" spans="1:48" ht="12" customHeight="1">
      <c r="A239" s="53"/>
      <c r="B239" s="53"/>
      <c r="C239" s="53"/>
      <c r="D239" s="53"/>
      <c r="E239" s="53"/>
      <c r="F239" s="53"/>
      <c r="G239" s="53"/>
      <c r="H239" s="64">
        <v>3236</v>
      </c>
      <c r="I239" s="117"/>
      <c r="J239" s="118"/>
      <c r="K239" s="18" t="s">
        <v>252</v>
      </c>
      <c r="L239" s="130">
        <f t="shared" ref="L239:S239" si="177">L397+L625+L1026</f>
        <v>54297</v>
      </c>
      <c r="M239" s="130">
        <f t="shared" si="177"/>
        <v>7206.4503284889506</v>
      </c>
      <c r="N239" s="131">
        <f t="shared" si="177"/>
        <v>69262</v>
      </c>
      <c r="O239" s="131">
        <f t="shared" si="177"/>
        <v>9192.6471564138301</v>
      </c>
      <c r="P239" s="132">
        <f t="shared" si="177"/>
        <v>10000</v>
      </c>
      <c r="Q239" s="132">
        <f t="shared" si="177"/>
        <v>10000</v>
      </c>
      <c r="R239" s="159">
        <f t="shared" si="177"/>
        <v>10736</v>
      </c>
      <c r="S239" s="165" t="e">
        <f t="shared" ca="1" si="177"/>
        <v>#NAME?</v>
      </c>
      <c r="T239" s="165"/>
      <c r="U239" s="90" t="e">
        <f t="shared" ca="1" si="111"/>
        <v>#NAME?</v>
      </c>
      <c r="V239" s="200">
        <f>V397+V625+V1026</f>
        <v>10900</v>
      </c>
      <c r="W239" s="200">
        <f>W397+W625+W1026</f>
        <v>10900</v>
      </c>
      <c r="X239" s="159">
        <f t="shared" ref="X239:AD239" si="178">X397+X625+X1026</f>
        <v>12560</v>
      </c>
      <c r="Y239" s="183">
        <f t="shared" si="178"/>
        <v>13200.1</v>
      </c>
      <c r="Z239" s="183"/>
      <c r="AA239" s="183" t="e">
        <f t="shared" ca="1" si="178"/>
        <v>#NAME?</v>
      </c>
      <c r="AB239" s="183">
        <f t="shared" si="178"/>
        <v>0</v>
      </c>
      <c r="AC239" s="178">
        <f t="shared" si="178"/>
        <v>10000</v>
      </c>
      <c r="AD239" s="178">
        <f t="shared" si="178"/>
        <v>10000</v>
      </c>
      <c r="AE239" s="178">
        <f t="shared" si="160"/>
        <v>127.56137539827247</v>
      </c>
      <c r="AF239" s="178">
        <f t="shared" si="161"/>
        <v>108.78259362998467</v>
      </c>
      <c r="AG239" s="178">
        <f t="shared" si="161"/>
        <v>100</v>
      </c>
      <c r="AH239" s="178">
        <f t="shared" si="162"/>
        <v>100</v>
      </c>
      <c r="AI239" s="183"/>
      <c r="AJ239" s="183">
        <v>13200.1</v>
      </c>
      <c r="AK239" s="171">
        <f t="shared" si="134"/>
        <v>101.52757078986588</v>
      </c>
      <c r="AL239" s="171">
        <f t="shared" si="135"/>
        <v>115.22935779816514</v>
      </c>
      <c r="AM239" s="171">
        <f t="shared" si="135"/>
        <v>105.09633757961782</v>
      </c>
      <c r="AN239" s="165"/>
      <c r="AO239" s="193"/>
      <c r="AP239" s="193" t="e">
        <f t="shared" ca="1" si="112"/>
        <v>#NAME?</v>
      </c>
      <c r="AQ239" s="200">
        <f>AQ397+AQ625+AQ1026</f>
        <v>10010.35</v>
      </c>
      <c r="AR239" s="204">
        <f t="shared" si="163"/>
        <v>101.52757078986588</v>
      </c>
      <c r="AS239" s="204">
        <f t="shared" si="164"/>
        <v>100</v>
      </c>
      <c r="AT239" s="204">
        <f t="shared" si="165"/>
        <v>101.52757078986588</v>
      </c>
      <c r="AU239" s="204">
        <f t="shared" si="166"/>
        <v>91.83807339449541</v>
      </c>
      <c r="AV239" s="204">
        <f t="shared" si="167"/>
        <v>91.83807339449541</v>
      </c>
    </row>
    <row r="240" spans="1:48" ht="12" customHeight="1">
      <c r="A240" s="53"/>
      <c r="B240" s="53"/>
      <c r="C240" s="53"/>
      <c r="D240" s="53"/>
      <c r="E240" s="53"/>
      <c r="F240" s="53"/>
      <c r="G240" s="53"/>
      <c r="H240" s="64">
        <v>3237</v>
      </c>
      <c r="I240" s="117"/>
      <c r="J240" s="118"/>
      <c r="K240" s="18" t="s">
        <v>253</v>
      </c>
      <c r="L240" s="130">
        <f t="shared" ref="L240:S240" si="179">L398+L418+L419+L558+L566+L660+L1097+L1160+L1197+L1027+L1191</f>
        <v>633786</v>
      </c>
      <c r="M240" s="130">
        <f t="shared" si="179"/>
        <v>84117.857853872178</v>
      </c>
      <c r="N240" s="131">
        <f t="shared" si="179"/>
        <v>504853</v>
      </c>
      <c r="O240" s="131">
        <f t="shared" si="179"/>
        <v>67005.50799654919</v>
      </c>
      <c r="P240" s="132">
        <f t="shared" si="179"/>
        <v>104400</v>
      </c>
      <c r="Q240" s="132">
        <f t="shared" si="179"/>
        <v>103100</v>
      </c>
      <c r="R240" s="159">
        <f t="shared" si="179"/>
        <v>88239</v>
      </c>
      <c r="S240" s="165" t="e">
        <f t="shared" ca="1" si="179"/>
        <v>#NAME?</v>
      </c>
      <c r="T240" s="165"/>
      <c r="U240" s="90" t="e">
        <f t="shared" ca="1" si="111"/>
        <v>#NAME?</v>
      </c>
      <c r="V240" s="200">
        <f>V398+V418+V419+V558+V566+V660+V1097+V1160+V1197+V1027+V1191</f>
        <v>132000</v>
      </c>
      <c r="W240" s="200">
        <f>W398+W418+W419+W558+W566+W660+W1097+W1160+W1197+W1027+W1191</f>
        <v>131229</v>
      </c>
      <c r="X240" s="159">
        <f t="shared" ref="X240:AD240" si="180">X398+X418+X419+X558+X566+X660+X1097+X1160+X1197+X1027+X1191</f>
        <v>146200</v>
      </c>
      <c r="Y240" s="183">
        <f t="shared" si="180"/>
        <v>161200</v>
      </c>
      <c r="Z240" s="183"/>
      <c r="AA240" s="183" t="e">
        <f t="shared" ca="1" si="180"/>
        <v>#NAME?</v>
      </c>
      <c r="AB240" s="183">
        <f t="shared" si="180"/>
        <v>0</v>
      </c>
      <c r="AC240" s="178">
        <f t="shared" si="180"/>
        <v>101600</v>
      </c>
      <c r="AD240" s="178">
        <f t="shared" si="180"/>
        <v>101600</v>
      </c>
      <c r="AE240" s="178">
        <f t="shared" si="160"/>
        <v>79.656698002164759</v>
      </c>
      <c r="AF240" s="178">
        <f t="shared" si="161"/>
        <v>155.80808671038901</v>
      </c>
      <c r="AG240" s="178">
        <f t="shared" si="161"/>
        <v>98.754789272030649</v>
      </c>
      <c r="AH240" s="178">
        <f t="shared" si="162"/>
        <v>98.545101842870992</v>
      </c>
      <c r="AI240" s="183"/>
      <c r="AJ240" s="183">
        <v>161200</v>
      </c>
      <c r="AK240" s="171">
        <f t="shared" si="134"/>
        <v>148.71995376194201</v>
      </c>
      <c r="AL240" s="171">
        <f t="shared" si="135"/>
        <v>111.40830151871918</v>
      </c>
      <c r="AM240" s="171">
        <f t="shared" si="135"/>
        <v>110.25991792065663</v>
      </c>
      <c r="AN240" s="165"/>
      <c r="AO240" s="193"/>
      <c r="AP240" s="193" t="e">
        <f t="shared" ca="1" si="112"/>
        <v>#NAME?</v>
      </c>
      <c r="AQ240" s="200">
        <f>AQ398+AQ418+AQ419+AQ558+AQ566+AQ660+AQ1097+AQ1160+AQ1197+AQ1027+AQ1191</f>
        <v>131896.99</v>
      </c>
      <c r="AR240" s="204">
        <f t="shared" si="163"/>
        <v>149.5937170638833</v>
      </c>
      <c r="AS240" s="204">
        <f t="shared" si="164"/>
        <v>99.415909090909096</v>
      </c>
      <c r="AT240" s="204">
        <f t="shared" si="165"/>
        <v>148.71995376194201</v>
      </c>
      <c r="AU240" s="204">
        <f t="shared" si="166"/>
        <v>100.50902620609774</v>
      </c>
      <c r="AV240" s="204">
        <f t="shared" si="167"/>
        <v>100.50902620609774</v>
      </c>
    </row>
    <row r="241" spans="1:48" ht="12" customHeight="1">
      <c r="A241" s="53"/>
      <c r="B241" s="53"/>
      <c r="C241" s="53"/>
      <c r="D241" s="53"/>
      <c r="E241" s="53"/>
      <c r="F241" s="53"/>
      <c r="G241" s="53"/>
      <c r="H241" s="64">
        <v>3238</v>
      </c>
      <c r="I241" s="117"/>
      <c r="J241" s="118"/>
      <c r="K241" s="18" t="s">
        <v>254</v>
      </c>
      <c r="L241" s="130">
        <f t="shared" ref="L241:S241" si="181">L399+L1028+L1098+L1161</f>
        <v>197513</v>
      </c>
      <c r="M241" s="130">
        <f t="shared" si="181"/>
        <v>26214.480058398036</v>
      </c>
      <c r="N241" s="131">
        <f t="shared" si="181"/>
        <v>223576</v>
      </c>
      <c r="O241" s="131">
        <f t="shared" si="181"/>
        <v>29673.634614108432</v>
      </c>
      <c r="P241" s="132">
        <f t="shared" si="181"/>
        <v>33500</v>
      </c>
      <c r="Q241" s="132">
        <f t="shared" si="181"/>
        <v>41000</v>
      </c>
      <c r="R241" s="159">
        <f t="shared" si="181"/>
        <v>43122</v>
      </c>
      <c r="S241" s="165">
        <f t="shared" si="181"/>
        <v>29970</v>
      </c>
      <c r="T241" s="165"/>
      <c r="U241" s="90" t="e">
        <f t="shared" ca="1" si="111"/>
        <v>#NAME?</v>
      </c>
      <c r="V241" s="200">
        <f>V399+V1028+V1098+V1161</f>
        <v>45129.919999999998</v>
      </c>
      <c r="W241" s="200">
        <f>W399+W1028+W1098+W1161</f>
        <v>45129.919999999998</v>
      </c>
      <c r="X241" s="159">
        <f t="shared" ref="X241:AD241" si="182">X399+X1028+X1098+X1161</f>
        <v>48730</v>
      </c>
      <c r="Y241" s="183">
        <f t="shared" si="182"/>
        <v>55100</v>
      </c>
      <c r="Z241" s="183"/>
      <c r="AA241" s="183" t="e">
        <f t="shared" ca="1" si="182"/>
        <v>#NAME?</v>
      </c>
      <c r="AB241" s="183">
        <f t="shared" si="182"/>
        <v>0</v>
      </c>
      <c r="AC241" s="178">
        <f t="shared" si="182"/>
        <v>34900</v>
      </c>
      <c r="AD241" s="178">
        <f t="shared" si="182"/>
        <v>34900</v>
      </c>
      <c r="AE241" s="178">
        <f t="shared" si="160"/>
        <v>113.19558712591069</v>
      </c>
      <c r="AF241" s="178">
        <f t="shared" si="161"/>
        <v>112.89483218234517</v>
      </c>
      <c r="AG241" s="178">
        <f t="shared" si="161"/>
        <v>122.38805970149254</v>
      </c>
      <c r="AH241" s="178">
        <f t="shared" si="162"/>
        <v>85.121951219512198</v>
      </c>
      <c r="AI241" s="183"/>
      <c r="AJ241" s="183">
        <v>55100</v>
      </c>
      <c r="AK241" s="171">
        <f t="shared" si="134"/>
        <v>104.65637029822364</v>
      </c>
      <c r="AL241" s="171">
        <f t="shared" si="135"/>
        <v>107.977146868419</v>
      </c>
      <c r="AM241" s="171">
        <f t="shared" si="135"/>
        <v>113.07202955058486</v>
      </c>
      <c r="AN241" s="165"/>
      <c r="AO241" s="193"/>
      <c r="AP241" s="193" t="e">
        <f t="shared" ca="1" si="112"/>
        <v>#NAME?</v>
      </c>
      <c r="AQ241" s="200">
        <f>AQ399+AQ1028+AQ1098+AQ1161</f>
        <v>43500.07</v>
      </c>
      <c r="AR241" s="204">
        <f t="shared" si="163"/>
        <v>104.65637029822364</v>
      </c>
      <c r="AS241" s="204">
        <f t="shared" si="164"/>
        <v>100</v>
      </c>
      <c r="AT241" s="204">
        <f t="shared" si="165"/>
        <v>104.65637029822364</v>
      </c>
      <c r="AU241" s="204">
        <f t="shared" si="166"/>
        <v>96.38853780374528</v>
      </c>
      <c r="AV241" s="204">
        <f t="shared" si="167"/>
        <v>96.38853780374528</v>
      </c>
    </row>
    <row r="242" spans="1:48" ht="12" customHeight="1">
      <c r="A242" s="53"/>
      <c r="B242" s="53"/>
      <c r="C242" s="53"/>
      <c r="D242" s="53"/>
      <c r="E242" s="53"/>
      <c r="F242" s="53"/>
      <c r="G242" s="53"/>
      <c r="H242" s="64">
        <v>3239</v>
      </c>
      <c r="I242" s="117"/>
      <c r="J242" s="118"/>
      <c r="K242" s="18" t="s">
        <v>255</v>
      </c>
      <c r="L242" s="130">
        <f t="shared" ref="L242:S242" si="183">L400+L420+L497+L626+L852+L1029+L1099+L1162+L1180+L1181+L1188+L1189+L1190+L1198</f>
        <v>222848</v>
      </c>
      <c r="M242" s="130">
        <f t="shared" si="183"/>
        <v>29577.012409582585</v>
      </c>
      <c r="N242" s="131">
        <f t="shared" si="183"/>
        <v>105515</v>
      </c>
      <c r="O242" s="131">
        <f t="shared" si="183"/>
        <v>14004.247129869269</v>
      </c>
      <c r="P242" s="132">
        <f t="shared" si="183"/>
        <v>43800</v>
      </c>
      <c r="Q242" s="132">
        <f t="shared" si="183"/>
        <v>37000</v>
      </c>
      <c r="R242" s="159">
        <f t="shared" si="183"/>
        <v>24404</v>
      </c>
      <c r="S242" s="165" t="e">
        <f t="shared" ca="1" si="183"/>
        <v>#NAME?</v>
      </c>
      <c r="T242" s="165"/>
      <c r="U242" s="90" t="e">
        <f t="shared" ca="1" si="111"/>
        <v>#NAME?</v>
      </c>
      <c r="V242" s="200">
        <f>V400+V420+V497+V626+V852+V1029+V1099+V1162+V1180+V1181+V1188+V1189+V1190+V1198</f>
        <v>60540</v>
      </c>
      <c r="W242" s="200">
        <f>W400+W420+W497+W626+W852+W1029+W1099+W1162+W1180+W1181+W1188+W1189+W1190+W1198</f>
        <v>60540</v>
      </c>
      <c r="X242" s="159">
        <f t="shared" ref="X242:AD242" si="184">X400+X420+X497+X626+X852+X1029+X1099+X1162+X1180+X1181+X1188+X1189+X1190+X1198</f>
        <v>78500</v>
      </c>
      <c r="Y242" s="183">
        <f t="shared" si="184"/>
        <v>85400</v>
      </c>
      <c r="Z242" s="183"/>
      <c r="AA242" s="183" t="e">
        <f t="shared" ca="1" si="184"/>
        <v>#NAME?</v>
      </c>
      <c r="AB242" s="183">
        <f t="shared" si="184"/>
        <v>0</v>
      </c>
      <c r="AC242" s="178">
        <f t="shared" si="184"/>
        <v>51100</v>
      </c>
      <c r="AD242" s="178">
        <f t="shared" si="184"/>
        <v>51100</v>
      </c>
      <c r="AE242" s="178">
        <f t="shared" si="160"/>
        <v>47.348416858127521</v>
      </c>
      <c r="AF242" s="178">
        <f t="shared" si="161"/>
        <v>312.762261289864</v>
      </c>
      <c r="AG242" s="178">
        <f t="shared" si="161"/>
        <v>84.474885844748854</v>
      </c>
      <c r="AH242" s="178">
        <f t="shared" si="162"/>
        <v>138.10810810810813</v>
      </c>
      <c r="AI242" s="183"/>
      <c r="AJ242" s="183">
        <v>85400</v>
      </c>
      <c r="AK242" s="171">
        <f t="shared" si="134"/>
        <v>248.07408621537454</v>
      </c>
      <c r="AL242" s="171">
        <f t="shared" si="135"/>
        <v>129.66633630657415</v>
      </c>
      <c r="AM242" s="171">
        <f t="shared" si="135"/>
        <v>108.78980891719745</v>
      </c>
      <c r="AN242" s="165"/>
      <c r="AO242" s="193"/>
      <c r="AP242" s="193" t="e">
        <f t="shared" ca="1" si="112"/>
        <v>#NAME?</v>
      </c>
      <c r="AQ242" s="200">
        <f>AQ400+AQ420+AQ497+AQ626+AQ852+AQ1029+AQ1099+AQ1162+AQ1180+AQ1181+AQ1188+AQ1189+AQ1190+AQ1198</f>
        <v>55007.09</v>
      </c>
      <c r="AR242" s="204">
        <f t="shared" si="163"/>
        <v>248.07408621537454</v>
      </c>
      <c r="AS242" s="204">
        <f t="shared" si="164"/>
        <v>100</v>
      </c>
      <c r="AT242" s="204">
        <f t="shared" si="165"/>
        <v>248.07408621537454</v>
      </c>
      <c r="AU242" s="204">
        <f t="shared" si="166"/>
        <v>90.860736703006268</v>
      </c>
      <c r="AV242" s="204">
        <f t="shared" si="167"/>
        <v>90.860736703006268</v>
      </c>
    </row>
    <row r="243" spans="1:48" ht="12" customHeight="1">
      <c r="A243" s="53"/>
      <c r="B243" s="53"/>
      <c r="C243" s="53"/>
      <c r="D243" s="53"/>
      <c r="E243" s="53"/>
      <c r="F243" s="53"/>
      <c r="G243" s="53"/>
      <c r="H243" s="64"/>
      <c r="I243" s="117"/>
      <c r="J243" s="118"/>
      <c r="K243" s="18"/>
      <c r="L243" s="130"/>
      <c r="M243" s="130"/>
      <c r="N243" s="131"/>
      <c r="O243" s="131"/>
      <c r="P243" s="132"/>
      <c r="Q243" s="132"/>
      <c r="R243" s="159"/>
      <c r="S243" s="165"/>
      <c r="T243" s="165"/>
      <c r="U243" s="90" t="e">
        <f t="shared" ca="1" si="111"/>
        <v>#NAME?</v>
      </c>
      <c r="V243" s="200"/>
      <c r="W243" s="200"/>
      <c r="X243" s="159"/>
      <c r="Y243" s="183"/>
      <c r="Z243" s="183"/>
      <c r="AA243" s="183"/>
      <c r="AB243" s="183"/>
      <c r="AC243" s="178"/>
      <c r="AD243" s="178"/>
      <c r="AE243" s="178"/>
      <c r="AF243" s="178"/>
      <c r="AG243" s="178"/>
      <c r="AH243" s="178"/>
      <c r="AI243" s="183"/>
      <c r="AJ243" s="183"/>
      <c r="AK243" s="171"/>
      <c r="AL243" s="171"/>
      <c r="AM243" s="171"/>
      <c r="AN243" s="165"/>
      <c r="AO243" s="193"/>
      <c r="AP243" s="193" t="e">
        <f t="shared" ca="1" si="112"/>
        <v>#NAME?</v>
      </c>
      <c r="AQ243" s="200"/>
      <c r="AR243" s="204"/>
      <c r="AS243" s="204"/>
      <c r="AT243" s="204"/>
      <c r="AU243" s="204"/>
      <c r="AV243" s="204"/>
    </row>
    <row r="244" spans="1:48" ht="12" customHeight="1">
      <c r="A244" s="62"/>
      <c r="B244" s="62"/>
      <c r="C244" s="62"/>
      <c r="D244" s="62"/>
      <c r="E244" s="62"/>
      <c r="F244" s="62"/>
      <c r="G244" s="62"/>
      <c r="H244" s="63">
        <v>324</v>
      </c>
      <c r="I244" s="128"/>
      <c r="J244" s="129"/>
      <c r="K244" s="19" t="s">
        <v>256</v>
      </c>
      <c r="L244" s="112">
        <f t="shared" ref="L244:AD244" si="185">L245</f>
        <v>0</v>
      </c>
      <c r="M244" s="112">
        <f t="shared" si="185"/>
        <v>0</v>
      </c>
      <c r="N244" s="113">
        <f t="shared" si="185"/>
        <v>0</v>
      </c>
      <c r="O244" s="113">
        <f t="shared" si="185"/>
        <v>0</v>
      </c>
      <c r="P244" s="114">
        <f t="shared" si="185"/>
        <v>0</v>
      </c>
      <c r="Q244" s="114">
        <f t="shared" si="185"/>
        <v>0</v>
      </c>
      <c r="R244" s="88">
        <f t="shared" si="185"/>
        <v>0</v>
      </c>
      <c r="S244" s="90" t="e">
        <f t="shared" ca="1" si="185"/>
        <v>#NAME?</v>
      </c>
      <c r="T244" s="90"/>
      <c r="U244" s="90" t="e">
        <f t="shared" ca="1" si="111"/>
        <v>#NAME?</v>
      </c>
      <c r="V244" s="200">
        <f>V245</f>
        <v>0</v>
      </c>
      <c r="W244" s="200">
        <f t="shared" si="185"/>
        <v>0</v>
      </c>
      <c r="X244" s="88">
        <f t="shared" si="185"/>
        <v>0</v>
      </c>
      <c r="Y244" s="171">
        <f t="shared" si="185"/>
        <v>0</v>
      </c>
      <c r="Z244" s="171"/>
      <c r="AA244" s="171" t="e">
        <f t="shared" ca="1" si="185"/>
        <v>#NAME?</v>
      </c>
      <c r="AB244" s="171">
        <f t="shared" si="185"/>
        <v>0</v>
      </c>
      <c r="AC244" s="172">
        <f t="shared" si="185"/>
        <v>0</v>
      </c>
      <c r="AD244" s="172">
        <f t="shared" si="185"/>
        <v>0</v>
      </c>
      <c r="AE244" s="178"/>
      <c r="AF244" s="178"/>
      <c r="AG244" s="178"/>
      <c r="AH244" s="178"/>
      <c r="AI244" s="171"/>
      <c r="AJ244" s="171">
        <v>0</v>
      </c>
      <c r="AK244" s="171"/>
      <c r="AL244" s="171"/>
      <c r="AM244" s="171"/>
      <c r="AN244" s="90"/>
      <c r="AO244" s="193"/>
      <c r="AP244" s="193" t="e">
        <f t="shared" ca="1" si="112"/>
        <v>#NAME?</v>
      </c>
      <c r="AQ244" s="200">
        <f>AQ245</f>
        <v>0</v>
      </c>
      <c r="AR244" s="204"/>
      <c r="AS244" s="204"/>
      <c r="AT244" s="204"/>
      <c r="AU244" s="204"/>
      <c r="AV244" s="204"/>
    </row>
    <row r="245" spans="1:48" ht="12" customHeight="1">
      <c r="A245" s="53"/>
      <c r="B245" s="53"/>
      <c r="C245" s="53"/>
      <c r="D245" s="53"/>
      <c r="E245" s="53"/>
      <c r="F245" s="53"/>
      <c r="G245" s="53"/>
      <c r="H245" s="64">
        <v>3241</v>
      </c>
      <c r="I245" s="117"/>
      <c r="J245" s="118"/>
      <c r="K245" s="18" t="s">
        <v>256</v>
      </c>
      <c r="L245" s="130">
        <f t="shared" ref="L245:S245" si="186">L403+L1032</f>
        <v>0</v>
      </c>
      <c r="M245" s="130">
        <f t="shared" si="186"/>
        <v>0</v>
      </c>
      <c r="N245" s="131">
        <f t="shared" si="186"/>
        <v>0</v>
      </c>
      <c r="O245" s="131">
        <f t="shared" si="186"/>
        <v>0</v>
      </c>
      <c r="P245" s="132">
        <f t="shared" si="186"/>
        <v>0</v>
      </c>
      <c r="Q245" s="132">
        <f t="shared" si="186"/>
        <v>0</v>
      </c>
      <c r="R245" s="159">
        <f t="shared" si="186"/>
        <v>0</v>
      </c>
      <c r="S245" s="165" t="e">
        <f t="shared" ca="1" si="186"/>
        <v>#NAME?</v>
      </c>
      <c r="T245" s="165"/>
      <c r="U245" s="90" t="e">
        <f t="shared" ca="1" si="111"/>
        <v>#NAME?</v>
      </c>
      <c r="V245" s="200">
        <f>V403+V1032</f>
        <v>0</v>
      </c>
      <c r="W245" s="200">
        <f>W403+W1032</f>
        <v>0</v>
      </c>
      <c r="X245" s="159">
        <f t="shared" ref="X245:AD245" si="187">X403+X1032</f>
        <v>0</v>
      </c>
      <c r="Y245" s="183">
        <f t="shared" si="187"/>
        <v>0</v>
      </c>
      <c r="Z245" s="183"/>
      <c r="AA245" s="183" t="e">
        <f t="shared" ca="1" si="187"/>
        <v>#NAME?</v>
      </c>
      <c r="AB245" s="183">
        <f t="shared" si="187"/>
        <v>0</v>
      </c>
      <c r="AC245" s="178">
        <f t="shared" si="187"/>
        <v>0</v>
      </c>
      <c r="AD245" s="178">
        <f t="shared" si="187"/>
        <v>0</v>
      </c>
      <c r="AE245" s="178"/>
      <c r="AF245" s="178"/>
      <c r="AG245" s="178"/>
      <c r="AH245" s="178"/>
      <c r="AI245" s="183"/>
      <c r="AJ245" s="183">
        <v>0</v>
      </c>
      <c r="AK245" s="171"/>
      <c r="AL245" s="171"/>
      <c r="AM245" s="171"/>
      <c r="AN245" s="165"/>
      <c r="AO245" s="193"/>
      <c r="AP245" s="193" t="e">
        <f t="shared" ca="1" si="112"/>
        <v>#NAME?</v>
      </c>
      <c r="AQ245" s="200">
        <f>AQ403+AQ1032</f>
        <v>0</v>
      </c>
      <c r="AR245" s="204"/>
      <c r="AS245" s="204"/>
      <c r="AT245" s="204"/>
      <c r="AU245" s="204"/>
      <c r="AV245" s="204"/>
    </row>
    <row r="246" spans="1:48" ht="12" customHeight="1">
      <c r="A246" s="53"/>
      <c r="B246" s="53"/>
      <c r="C246" s="53"/>
      <c r="D246" s="53"/>
      <c r="E246" s="53"/>
      <c r="F246" s="53"/>
      <c r="G246" s="53"/>
      <c r="H246" s="64"/>
      <c r="I246" s="117"/>
      <c r="J246" s="118"/>
      <c r="K246" s="18"/>
      <c r="L246" s="119"/>
      <c r="M246" s="119"/>
      <c r="N246" s="120"/>
      <c r="O246" s="120"/>
      <c r="P246" s="121"/>
      <c r="Q246" s="121"/>
      <c r="R246" s="157"/>
      <c r="S246" s="158"/>
      <c r="T246" s="158"/>
      <c r="U246" s="90" t="e">
        <f t="shared" ca="1" si="111"/>
        <v>#NAME?</v>
      </c>
      <c r="V246" s="200"/>
      <c r="W246" s="200"/>
      <c r="X246" s="159"/>
      <c r="Y246" s="179"/>
      <c r="Z246" s="179"/>
      <c r="AA246" s="179"/>
      <c r="AB246" s="179"/>
      <c r="AC246" s="180"/>
      <c r="AD246" s="180"/>
      <c r="AE246" s="178"/>
      <c r="AF246" s="178"/>
      <c r="AG246" s="178"/>
      <c r="AH246" s="178"/>
      <c r="AI246" s="179"/>
      <c r="AJ246" s="179"/>
      <c r="AK246" s="171"/>
      <c r="AL246" s="171"/>
      <c r="AM246" s="171"/>
      <c r="AN246" s="158"/>
      <c r="AO246" s="193"/>
      <c r="AP246" s="193" t="e">
        <f t="shared" ca="1" si="112"/>
        <v>#NAME?</v>
      </c>
      <c r="AQ246" s="200"/>
      <c r="AR246" s="204"/>
      <c r="AS246" s="204"/>
      <c r="AT246" s="204"/>
      <c r="AU246" s="204"/>
      <c r="AV246" s="204"/>
    </row>
    <row r="247" spans="1:48" ht="12" customHeight="1">
      <c r="A247" s="42"/>
      <c r="B247" s="42"/>
      <c r="C247" s="42"/>
      <c r="D247" s="42"/>
      <c r="E247" s="42"/>
      <c r="F247" s="42"/>
      <c r="G247" s="42"/>
      <c r="H247" s="38"/>
      <c r="I247" s="73"/>
      <c r="J247" s="91"/>
      <c r="K247" s="84"/>
      <c r="L247" s="85">
        <v>1</v>
      </c>
      <c r="M247" s="85">
        <v>2</v>
      </c>
      <c r="N247" s="86">
        <v>3</v>
      </c>
      <c r="O247" s="86">
        <v>4</v>
      </c>
      <c r="P247" s="87">
        <v>5</v>
      </c>
      <c r="Q247" s="87">
        <v>6</v>
      </c>
      <c r="R247" s="160"/>
      <c r="S247" s="161"/>
      <c r="T247" s="161"/>
      <c r="U247" s="90" t="e">
        <f t="shared" ca="1" si="111"/>
        <v>#NAME?</v>
      </c>
      <c r="V247" s="200"/>
      <c r="W247" s="200"/>
      <c r="X247" s="162"/>
      <c r="Y247" s="181"/>
      <c r="Z247" s="181"/>
      <c r="AA247" s="181"/>
      <c r="AB247" s="181"/>
      <c r="AC247" s="182">
        <v>7</v>
      </c>
      <c r="AD247" s="182">
        <v>8</v>
      </c>
      <c r="AE247" s="182">
        <v>9</v>
      </c>
      <c r="AF247" s="182">
        <v>10</v>
      </c>
      <c r="AG247" s="182">
        <v>11</v>
      </c>
      <c r="AH247" s="182">
        <v>12</v>
      </c>
      <c r="AI247" s="181"/>
      <c r="AJ247" s="181"/>
      <c r="AK247" s="171"/>
      <c r="AL247" s="171"/>
      <c r="AM247" s="171"/>
      <c r="AN247" s="161"/>
      <c r="AO247" s="193"/>
      <c r="AP247" s="193" t="e">
        <f t="shared" ca="1" si="112"/>
        <v>#NAME?</v>
      </c>
      <c r="AQ247" s="200"/>
      <c r="AR247" s="204"/>
      <c r="AS247" s="204"/>
      <c r="AT247" s="204"/>
      <c r="AU247" s="204"/>
      <c r="AV247" s="204"/>
    </row>
    <row r="248" spans="1:48" ht="12" customHeight="1">
      <c r="A248" s="62"/>
      <c r="B248" s="62"/>
      <c r="C248" s="62"/>
      <c r="D248" s="62"/>
      <c r="E248" s="62"/>
      <c r="F248" s="62"/>
      <c r="G248" s="62"/>
      <c r="H248" s="63">
        <v>329</v>
      </c>
      <c r="I248" s="128"/>
      <c r="J248" s="129"/>
      <c r="K248" s="19" t="s">
        <v>257</v>
      </c>
      <c r="L248" s="112">
        <f t="shared" ref="L248:S248" si="188">L249+L250+L251+L252+L253+L254+L255</f>
        <v>1308919</v>
      </c>
      <c r="M248" s="112">
        <f t="shared" si="188"/>
        <v>173723.4056672639</v>
      </c>
      <c r="N248" s="113">
        <f t="shared" si="188"/>
        <v>1164960</v>
      </c>
      <c r="O248" s="113">
        <f t="shared" si="188"/>
        <v>154616.76289070275</v>
      </c>
      <c r="P248" s="114">
        <f t="shared" si="188"/>
        <v>215900</v>
      </c>
      <c r="Q248" s="114">
        <f t="shared" si="188"/>
        <v>261300</v>
      </c>
      <c r="R248" s="88">
        <f t="shared" si="188"/>
        <v>233239</v>
      </c>
      <c r="S248" s="90" t="e">
        <f t="shared" ca="1" si="188"/>
        <v>#NAME?</v>
      </c>
      <c r="T248" s="90"/>
      <c r="U248" s="90" t="e">
        <f t="shared" ca="1" si="111"/>
        <v>#NAME?</v>
      </c>
      <c r="V248" s="200">
        <f>V249+V250+V251+V252+V253+V254+V255</f>
        <v>336070.25</v>
      </c>
      <c r="W248" s="200">
        <f>W249+W250+W251+W252+W253+W254+W255</f>
        <v>336070.25</v>
      </c>
      <c r="X248" s="88">
        <f>X249+X250+X251+X252+X253+X254+X255</f>
        <v>475450</v>
      </c>
      <c r="Y248" s="171">
        <f>Y249+Y250+Y251+Y252+Y253+Y254+Y255</f>
        <v>464400.3</v>
      </c>
      <c r="Z248" s="171"/>
      <c r="AA248" s="171" t="e">
        <f ca="1">AA249+AA250+AA251+AA252+AA253+AA254+AA255</f>
        <v>#NAME?</v>
      </c>
      <c r="AB248" s="171">
        <f>AB249+AB250+AB251+AB252+AB253+AB254+AB255</f>
        <v>0</v>
      </c>
      <c r="AC248" s="172">
        <f>AC249+AC250+AC251+AC252+AC253+AC254+AC255</f>
        <v>261700</v>
      </c>
      <c r="AD248" s="172">
        <f>AD249+AD250+AD251+AD252+AD253+AD254+AD255</f>
        <v>261700</v>
      </c>
      <c r="AE248" s="178">
        <f>O248/M248*100</f>
        <v>89.001687652177111</v>
      </c>
      <c r="AF248" s="178">
        <f t="shared" ref="AF248:AG252" si="189">P248/O248*100</f>
        <v>139.63557117840958</v>
      </c>
      <c r="AG248" s="178">
        <f t="shared" si="189"/>
        <v>121.02825382121351</v>
      </c>
      <c r="AH248" s="178">
        <f t="shared" ref="AH248:AH255" si="190">AC248/Q248*100</f>
        <v>100.15308075009568</v>
      </c>
      <c r="AI248" s="171"/>
      <c r="AJ248" s="171">
        <v>464400.3</v>
      </c>
      <c r="AK248" s="171">
        <f t="shared" si="134"/>
        <v>144.08836000840338</v>
      </c>
      <c r="AL248" s="171">
        <f t="shared" si="135"/>
        <v>141.47339730309363</v>
      </c>
      <c r="AM248" s="171">
        <f t="shared" si="135"/>
        <v>97.675949100851824</v>
      </c>
      <c r="AN248" s="90"/>
      <c r="AO248" s="193"/>
      <c r="AP248" s="193" t="e">
        <f t="shared" ca="1" si="112"/>
        <v>#NAME?</v>
      </c>
      <c r="AQ248" s="200">
        <f>AQ249+AQ250+AQ251+AQ252+AQ253+AQ254+AQ255</f>
        <v>305069.39</v>
      </c>
      <c r="AR248" s="204">
        <f t="shared" si="163"/>
        <v>144.08836000840338</v>
      </c>
      <c r="AS248" s="204">
        <f t="shared" si="164"/>
        <v>100</v>
      </c>
      <c r="AT248" s="204">
        <f t="shared" si="165"/>
        <v>144.08836000840338</v>
      </c>
      <c r="AU248" s="204">
        <f t="shared" si="166"/>
        <v>90.775482209448782</v>
      </c>
      <c r="AV248" s="204">
        <f t="shared" si="167"/>
        <v>90.775482209448782</v>
      </c>
    </row>
    <row r="249" spans="1:48" ht="12" customHeight="1">
      <c r="A249" s="53"/>
      <c r="B249" s="53"/>
      <c r="C249" s="53"/>
      <c r="D249" s="53"/>
      <c r="E249" s="53"/>
      <c r="F249" s="53"/>
      <c r="G249" s="53"/>
      <c r="H249" s="64">
        <v>3291</v>
      </c>
      <c r="I249" s="117"/>
      <c r="J249" s="118"/>
      <c r="K249" s="18" t="s">
        <v>258</v>
      </c>
      <c r="L249" s="130">
        <f t="shared" ref="L249:S249" si="191">L423</f>
        <v>100854</v>
      </c>
      <c r="M249" s="130">
        <f t="shared" si="191"/>
        <v>13385.626119848695</v>
      </c>
      <c r="N249" s="131">
        <f t="shared" si="191"/>
        <v>51825</v>
      </c>
      <c r="O249" s="131">
        <f t="shared" si="191"/>
        <v>6878.3595460879951</v>
      </c>
      <c r="P249" s="132">
        <f t="shared" si="191"/>
        <v>13000</v>
      </c>
      <c r="Q249" s="132">
        <f t="shared" si="191"/>
        <v>13000</v>
      </c>
      <c r="R249" s="159">
        <f t="shared" si="191"/>
        <v>12655</v>
      </c>
      <c r="S249" s="165">
        <f t="shared" si="191"/>
        <v>1149.75</v>
      </c>
      <c r="T249" s="165"/>
      <c r="U249" s="90" t="e">
        <f t="shared" ca="1" si="111"/>
        <v>#NAME?</v>
      </c>
      <c r="V249" s="200">
        <f>V423</f>
        <v>10000</v>
      </c>
      <c r="W249" s="200">
        <f>W423</f>
        <v>10000</v>
      </c>
      <c r="X249" s="159">
        <f>X423</f>
        <v>12000</v>
      </c>
      <c r="Y249" s="183">
        <f>Y423</f>
        <v>13000</v>
      </c>
      <c r="Z249" s="183"/>
      <c r="AA249" s="183" t="e">
        <f ca="1">AA423</f>
        <v>#NAME?</v>
      </c>
      <c r="AB249" s="183">
        <f>AB423</f>
        <v>0</v>
      </c>
      <c r="AC249" s="178">
        <f>AC423</f>
        <v>13000</v>
      </c>
      <c r="AD249" s="178">
        <f>AD423</f>
        <v>13000</v>
      </c>
      <c r="AE249" s="178">
        <f>O249/M249*100</f>
        <v>51.386162175025284</v>
      </c>
      <c r="AF249" s="178">
        <f t="shared" si="189"/>
        <v>188.99855282199712</v>
      </c>
      <c r="AG249" s="178">
        <f t="shared" si="189"/>
        <v>100</v>
      </c>
      <c r="AH249" s="178">
        <f t="shared" si="190"/>
        <v>100</v>
      </c>
      <c r="AI249" s="183"/>
      <c r="AJ249" s="183">
        <v>13000</v>
      </c>
      <c r="AK249" s="171">
        <f t="shared" si="134"/>
        <v>79.02015013828526</v>
      </c>
      <c r="AL249" s="171">
        <f t="shared" si="135"/>
        <v>120</v>
      </c>
      <c r="AM249" s="171">
        <f t="shared" si="135"/>
        <v>108.33333333333333</v>
      </c>
      <c r="AN249" s="165"/>
      <c r="AO249" s="193"/>
      <c r="AP249" s="193" t="e">
        <f t="shared" ca="1" si="112"/>
        <v>#NAME?</v>
      </c>
      <c r="AQ249" s="200">
        <f>AQ423</f>
        <v>12042.89</v>
      </c>
      <c r="AR249" s="204">
        <f t="shared" si="163"/>
        <v>79.02015013828526</v>
      </c>
      <c r="AS249" s="204">
        <f t="shared" si="164"/>
        <v>100</v>
      </c>
      <c r="AT249" s="204">
        <f t="shared" si="165"/>
        <v>79.02015013828526</v>
      </c>
      <c r="AU249" s="204">
        <f t="shared" si="166"/>
        <v>120.4289</v>
      </c>
      <c r="AV249" s="204">
        <f t="shared" si="167"/>
        <v>120.4289</v>
      </c>
    </row>
    <row r="250" spans="1:48" ht="12" customHeight="1">
      <c r="A250" s="53"/>
      <c r="B250" s="53"/>
      <c r="C250" s="53"/>
      <c r="D250" s="53"/>
      <c r="E250" s="53"/>
      <c r="F250" s="53"/>
      <c r="G250" s="53"/>
      <c r="H250" s="64">
        <v>3292</v>
      </c>
      <c r="I250" s="117"/>
      <c r="J250" s="118"/>
      <c r="K250" s="18" t="s">
        <v>259</v>
      </c>
      <c r="L250" s="130">
        <f t="shared" ref="L250:S250" si="192">L424+L1036+L1165</f>
        <v>52468</v>
      </c>
      <c r="M250" s="130">
        <f t="shared" si="192"/>
        <v>6963.7003118986004</v>
      </c>
      <c r="N250" s="131">
        <f t="shared" si="192"/>
        <v>47776</v>
      </c>
      <c r="O250" s="131">
        <f t="shared" si="192"/>
        <v>6340.9648948171744</v>
      </c>
      <c r="P250" s="132">
        <f t="shared" si="192"/>
        <v>9500</v>
      </c>
      <c r="Q250" s="132">
        <f t="shared" si="192"/>
        <v>8700</v>
      </c>
      <c r="R250" s="159">
        <f t="shared" si="192"/>
        <v>4516</v>
      </c>
      <c r="S250" s="165">
        <f t="shared" si="192"/>
        <v>4509</v>
      </c>
      <c r="T250" s="165"/>
      <c r="U250" s="90" t="e">
        <f t="shared" ca="1" si="111"/>
        <v>#NAME?</v>
      </c>
      <c r="V250" s="200">
        <f>V424+V1036+V1165</f>
        <v>9620</v>
      </c>
      <c r="W250" s="200">
        <f>W424+W1036+W1165</f>
        <v>9620</v>
      </c>
      <c r="X250" s="159">
        <f t="shared" ref="X250:AD250" si="193">X424+X1036+X1165</f>
        <v>10600</v>
      </c>
      <c r="Y250" s="183">
        <f t="shared" si="193"/>
        <v>11800</v>
      </c>
      <c r="Z250" s="183"/>
      <c r="AA250" s="183" t="e">
        <f t="shared" ca="1" si="193"/>
        <v>#NAME?</v>
      </c>
      <c r="AB250" s="183">
        <f t="shared" si="193"/>
        <v>0</v>
      </c>
      <c r="AC250" s="178">
        <f t="shared" si="193"/>
        <v>9600</v>
      </c>
      <c r="AD250" s="178">
        <f t="shared" si="193"/>
        <v>9600</v>
      </c>
      <c r="AE250" s="178">
        <f>O250/M250*100</f>
        <v>91.057406419150709</v>
      </c>
      <c r="AF250" s="178">
        <f t="shared" si="189"/>
        <v>149.81947002679169</v>
      </c>
      <c r="AG250" s="178">
        <f t="shared" si="189"/>
        <v>91.578947368421055</v>
      </c>
      <c r="AH250" s="178">
        <f t="shared" si="190"/>
        <v>110.34482758620689</v>
      </c>
      <c r="AI250" s="183"/>
      <c r="AJ250" s="183">
        <v>11800</v>
      </c>
      <c r="AK250" s="171">
        <f t="shared" si="134"/>
        <v>213.02037201062888</v>
      </c>
      <c r="AL250" s="171">
        <f t="shared" si="135"/>
        <v>110.18711018711018</v>
      </c>
      <c r="AM250" s="171">
        <f t="shared" si="135"/>
        <v>111.32075471698113</v>
      </c>
      <c r="AN250" s="165"/>
      <c r="AO250" s="193"/>
      <c r="AP250" s="193" t="e">
        <f t="shared" ca="1" si="112"/>
        <v>#NAME?</v>
      </c>
      <c r="AQ250" s="200">
        <f>AQ424+AQ1036+AQ1165</f>
        <v>7778.49</v>
      </c>
      <c r="AR250" s="204">
        <f t="shared" si="163"/>
        <v>213.02037201062888</v>
      </c>
      <c r="AS250" s="204">
        <f t="shared" si="164"/>
        <v>100</v>
      </c>
      <c r="AT250" s="204">
        <f t="shared" si="165"/>
        <v>213.02037201062888</v>
      </c>
      <c r="AU250" s="204">
        <f t="shared" si="166"/>
        <v>80.857484407484407</v>
      </c>
      <c r="AV250" s="204">
        <f t="shared" si="167"/>
        <v>80.857484407484407</v>
      </c>
    </row>
    <row r="251" spans="1:48" ht="12" customHeight="1">
      <c r="A251" s="53"/>
      <c r="B251" s="53"/>
      <c r="C251" s="53"/>
      <c r="D251" s="53"/>
      <c r="E251" s="53"/>
      <c r="F251" s="53"/>
      <c r="G251" s="53"/>
      <c r="H251" s="64">
        <v>3293</v>
      </c>
      <c r="I251" s="117"/>
      <c r="J251" s="118"/>
      <c r="K251" s="18" t="s">
        <v>260</v>
      </c>
      <c r="L251" s="130">
        <f t="shared" ref="L251:S251" si="194">L406+L1037+L1166</f>
        <v>63203</v>
      </c>
      <c r="M251" s="130">
        <f t="shared" si="194"/>
        <v>8388.4796602296101</v>
      </c>
      <c r="N251" s="131">
        <f t="shared" si="194"/>
        <v>54485</v>
      </c>
      <c r="O251" s="131">
        <f t="shared" si="194"/>
        <v>7231.4022164709004</v>
      </c>
      <c r="P251" s="132">
        <f t="shared" si="194"/>
        <v>12400</v>
      </c>
      <c r="Q251" s="132">
        <f t="shared" si="194"/>
        <v>13900</v>
      </c>
      <c r="R251" s="159">
        <f t="shared" si="194"/>
        <v>11962</v>
      </c>
      <c r="S251" s="165">
        <f t="shared" si="194"/>
        <v>3811</v>
      </c>
      <c r="T251" s="165"/>
      <c r="U251" s="90" t="e">
        <f t="shared" ca="1" si="111"/>
        <v>#NAME?</v>
      </c>
      <c r="V251" s="200">
        <f>V406+V1037+V1166</f>
        <v>16100</v>
      </c>
      <c r="W251" s="200">
        <f>W406+W1037+W1166</f>
        <v>16100</v>
      </c>
      <c r="X251" s="159">
        <f t="shared" ref="X251:AD251" si="195">X406+X1037+X1166</f>
        <v>18400</v>
      </c>
      <c r="Y251" s="183">
        <f t="shared" si="195"/>
        <v>20400</v>
      </c>
      <c r="Z251" s="183"/>
      <c r="AA251" s="183" t="e">
        <f t="shared" ca="1" si="195"/>
        <v>#NAME?</v>
      </c>
      <c r="AB251" s="183">
        <f t="shared" si="195"/>
        <v>0</v>
      </c>
      <c r="AC251" s="178">
        <f t="shared" si="195"/>
        <v>12900</v>
      </c>
      <c r="AD251" s="178">
        <f t="shared" si="195"/>
        <v>12900</v>
      </c>
      <c r="AE251" s="178">
        <f>O251/M251*100</f>
        <v>86.206350964352964</v>
      </c>
      <c r="AF251" s="178">
        <f t="shared" si="189"/>
        <v>171.47435073873544</v>
      </c>
      <c r="AG251" s="178">
        <f t="shared" si="189"/>
        <v>112.09677419354837</v>
      </c>
      <c r="AH251" s="178">
        <f t="shared" si="190"/>
        <v>92.805755395683448</v>
      </c>
      <c r="AI251" s="183"/>
      <c r="AJ251" s="183">
        <v>20400</v>
      </c>
      <c r="AK251" s="171">
        <f t="shared" si="134"/>
        <v>134.59287744524326</v>
      </c>
      <c r="AL251" s="171">
        <f t="shared" si="135"/>
        <v>114.28571428571428</v>
      </c>
      <c r="AM251" s="171">
        <f t="shared" si="135"/>
        <v>110.86956521739131</v>
      </c>
      <c r="AN251" s="165"/>
      <c r="AO251" s="193"/>
      <c r="AP251" s="193" t="e">
        <f t="shared" ca="1" si="112"/>
        <v>#NAME?</v>
      </c>
      <c r="AQ251" s="200">
        <f>AQ406+AQ1037+AQ1166</f>
        <v>6705.1799999999994</v>
      </c>
      <c r="AR251" s="204">
        <f t="shared" si="163"/>
        <v>134.59287744524326</v>
      </c>
      <c r="AS251" s="204">
        <f t="shared" si="164"/>
        <v>100</v>
      </c>
      <c r="AT251" s="204">
        <f t="shared" si="165"/>
        <v>134.59287744524326</v>
      </c>
      <c r="AU251" s="204">
        <f t="shared" si="166"/>
        <v>41.647080745341611</v>
      </c>
      <c r="AV251" s="204">
        <f t="shared" si="167"/>
        <v>41.647080745341611</v>
      </c>
    </row>
    <row r="252" spans="1:48" ht="12" customHeight="1">
      <c r="A252" s="53"/>
      <c r="B252" s="53"/>
      <c r="C252" s="53"/>
      <c r="D252" s="53"/>
      <c r="E252" s="53"/>
      <c r="F252" s="53"/>
      <c r="G252" s="53"/>
      <c r="H252" s="64">
        <v>3294</v>
      </c>
      <c r="I252" s="117"/>
      <c r="J252" s="118"/>
      <c r="K252" s="18" t="s">
        <v>261</v>
      </c>
      <c r="L252" s="130">
        <f t="shared" ref="L252:S252" si="196">L425+L426+L1038</f>
        <v>33838</v>
      </c>
      <c r="M252" s="130">
        <f t="shared" si="196"/>
        <v>4491.074391134116</v>
      </c>
      <c r="N252" s="131">
        <f t="shared" si="196"/>
        <v>54285</v>
      </c>
      <c r="O252" s="131">
        <f t="shared" si="196"/>
        <v>7204.8576547879748</v>
      </c>
      <c r="P252" s="132">
        <f t="shared" si="196"/>
        <v>6500</v>
      </c>
      <c r="Q252" s="132">
        <f t="shared" si="196"/>
        <v>15700</v>
      </c>
      <c r="R252" s="159">
        <f t="shared" si="196"/>
        <v>14047</v>
      </c>
      <c r="S252" s="165" t="e">
        <f t="shared" ca="1" si="196"/>
        <v>#NAME?</v>
      </c>
      <c r="T252" s="165"/>
      <c r="U252" s="90" t="e">
        <f t="shared" ca="1" si="111"/>
        <v>#NAME?</v>
      </c>
      <c r="V252" s="200">
        <f>V425+V426+V1038</f>
        <v>15800</v>
      </c>
      <c r="W252" s="200">
        <f>W425+W426+W1038</f>
        <v>15800</v>
      </c>
      <c r="X252" s="159">
        <f t="shared" ref="X252:AD252" si="197">X425+X426+X1038</f>
        <v>15800</v>
      </c>
      <c r="Y252" s="183">
        <f t="shared" si="197"/>
        <v>17300</v>
      </c>
      <c r="Z252" s="183"/>
      <c r="AA252" s="183" t="e">
        <f t="shared" ca="1" si="197"/>
        <v>#NAME?</v>
      </c>
      <c r="AB252" s="183">
        <f t="shared" si="197"/>
        <v>0</v>
      </c>
      <c r="AC252" s="178">
        <f t="shared" si="197"/>
        <v>6500</v>
      </c>
      <c r="AD252" s="178">
        <f t="shared" si="197"/>
        <v>6500</v>
      </c>
      <c r="AE252" s="178">
        <f>O252/M252*100</f>
        <v>160.42614811750104</v>
      </c>
      <c r="AF252" s="178">
        <f t="shared" si="189"/>
        <v>90.216910748825654</v>
      </c>
      <c r="AG252" s="178">
        <f t="shared" si="189"/>
        <v>241.53846153846152</v>
      </c>
      <c r="AH252" s="178">
        <f t="shared" si="190"/>
        <v>41.401273885350321</v>
      </c>
      <c r="AI252" s="183"/>
      <c r="AJ252" s="183">
        <v>17300</v>
      </c>
      <c r="AK252" s="171">
        <f t="shared" si="134"/>
        <v>112.47953299636933</v>
      </c>
      <c r="AL252" s="171">
        <f t="shared" si="135"/>
        <v>100</v>
      </c>
      <c r="AM252" s="171">
        <f t="shared" si="135"/>
        <v>109.49367088607596</v>
      </c>
      <c r="AN252" s="165"/>
      <c r="AO252" s="193"/>
      <c r="AP252" s="193" t="e">
        <f t="shared" ca="1" si="112"/>
        <v>#NAME?</v>
      </c>
      <c r="AQ252" s="200">
        <f>AQ425+AQ426+AQ1038</f>
        <v>8329.24</v>
      </c>
      <c r="AR252" s="204">
        <f t="shared" si="163"/>
        <v>112.47953299636933</v>
      </c>
      <c r="AS252" s="204">
        <f t="shared" si="164"/>
        <v>100</v>
      </c>
      <c r="AT252" s="204">
        <f t="shared" si="165"/>
        <v>112.47953299636933</v>
      </c>
      <c r="AU252" s="204">
        <f t="shared" si="166"/>
        <v>52.716708860759489</v>
      </c>
      <c r="AV252" s="204">
        <f t="shared" si="167"/>
        <v>52.716708860759489</v>
      </c>
    </row>
    <row r="253" spans="1:48" ht="12" customHeight="1">
      <c r="A253" s="53"/>
      <c r="B253" s="53"/>
      <c r="C253" s="53"/>
      <c r="D253" s="53"/>
      <c r="E253" s="53"/>
      <c r="F253" s="53"/>
      <c r="G253" s="53"/>
      <c r="H253" s="64">
        <v>3295</v>
      </c>
      <c r="I253" s="117"/>
      <c r="J253" s="118"/>
      <c r="K253" s="18" t="s">
        <v>262</v>
      </c>
      <c r="L253" s="130">
        <f t="shared" ref="L253:S253" si="198">L427+L1039</f>
        <v>2400</v>
      </c>
      <c r="M253" s="130">
        <f t="shared" si="198"/>
        <v>318.53474019510253</v>
      </c>
      <c r="N253" s="131">
        <f t="shared" si="198"/>
        <v>1200</v>
      </c>
      <c r="O253" s="131">
        <f t="shared" si="198"/>
        <v>159.26737009755126</v>
      </c>
      <c r="P253" s="132">
        <f t="shared" si="198"/>
        <v>4000</v>
      </c>
      <c r="Q253" s="132">
        <f t="shared" si="198"/>
        <v>1000</v>
      </c>
      <c r="R253" s="159">
        <f t="shared" si="198"/>
        <v>2254</v>
      </c>
      <c r="S253" s="165" t="e">
        <f t="shared" ca="1" si="198"/>
        <v>#NAME?</v>
      </c>
      <c r="T253" s="165"/>
      <c r="U253" s="90" t="e">
        <f t="shared" ca="1" si="111"/>
        <v>#NAME?</v>
      </c>
      <c r="V253" s="200">
        <f>V427+V1039</f>
        <v>1000</v>
      </c>
      <c r="W253" s="200">
        <f>W427+W1039</f>
        <v>1000</v>
      </c>
      <c r="X253" s="159">
        <f t="shared" ref="X253:AD253" si="199">X427+X1039</f>
        <v>1000</v>
      </c>
      <c r="Y253" s="183">
        <f t="shared" si="199"/>
        <v>1500</v>
      </c>
      <c r="Z253" s="183"/>
      <c r="AA253" s="183" t="e">
        <f t="shared" ca="1" si="199"/>
        <v>#NAME?</v>
      </c>
      <c r="AB253" s="183">
        <f t="shared" si="199"/>
        <v>0</v>
      </c>
      <c r="AC253" s="178">
        <f t="shared" si="199"/>
        <v>4000</v>
      </c>
      <c r="AD253" s="178">
        <f t="shared" si="199"/>
        <v>4000</v>
      </c>
      <c r="AE253" s="178"/>
      <c r="AF253" s="178"/>
      <c r="AG253" s="178">
        <f>Q253/P253*100</f>
        <v>25</v>
      </c>
      <c r="AH253" s="178">
        <f t="shared" si="190"/>
        <v>400</v>
      </c>
      <c r="AI253" s="183"/>
      <c r="AJ253" s="183">
        <v>1500</v>
      </c>
      <c r="AK253" s="171">
        <f t="shared" si="134"/>
        <v>44.365572315882872</v>
      </c>
      <c r="AL253" s="171">
        <f t="shared" si="135"/>
        <v>100</v>
      </c>
      <c r="AM253" s="171">
        <f t="shared" si="135"/>
        <v>150</v>
      </c>
      <c r="AN253" s="165"/>
      <c r="AO253" s="193"/>
      <c r="AP253" s="193" t="e">
        <f t="shared" ca="1" si="112"/>
        <v>#NAME?</v>
      </c>
      <c r="AQ253" s="200">
        <f>AQ427+AQ1039</f>
        <v>434.65</v>
      </c>
      <c r="AR253" s="204">
        <f t="shared" si="163"/>
        <v>44.365572315882872</v>
      </c>
      <c r="AS253" s="204">
        <f t="shared" si="164"/>
        <v>100</v>
      </c>
      <c r="AT253" s="204">
        <f t="shared" si="165"/>
        <v>44.365572315882872</v>
      </c>
      <c r="AU253" s="204">
        <f t="shared" si="166"/>
        <v>43.464999999999996</v>
      </c>
      <c r="AV253" s="204">
        <f t="shared" si="167"/>
        <v>43.464999999999996</v>
      </c>
    </row>
    <row r="254" spans="1:48" ht="12" customHeight="1">
      <c r="A254" s="53"/>
      <c r="B254" s="53"/>
      <c r="C254" s="53"/>
      <c r="D254" s="53"/>
      <c r="E254" s="53"/>
      <c r="F254" s="53"/>
      <c r="G254" s="53"/>
      <c r="H254" s="64">
        <v>3296</v>
      </c>
      <c r="I254" s="117"/>
      <c r="J254" s="118"/>
      <c r="K254" s="18" t="s">
        <v>263</v>
      </c>
      <c r="L254" s="130">
        <f t="shared" ref="L254:S254" si="200">L428</f>
        <v>29746</v>
      </c>
      <c r="M254" s="130">
        <f t="shared" si="200"/>
        <v>3947.9726591014664</v>
      </c>
      <c r="N254" s="131">
        <f t="shared" si="200"/>
        <v>26461</v>
      </c>
      <c r="O254" s="131">
        <f t="shared" si="200"/>
        <v>3511.9782334594197</v>
      </c>
      <c r="P254" s="132">
        <f t="shared" si="200"/>
        <v>4000</v>
      </c>
      <c r="Q254" s="132">
        <f t="shared" si="200"/>
        <v>1000</v>
      </c>
      <c r="R254" s="159">
        <f t="shared" si="200"/>
        <v>298</v>
      </c>
      <c r="S254" s="165" t="e">
        <f t="shared" ca="1" si="200"/>
        <v>#NAME?</v>
      </c>
      <c r="T254" s="165"/>
      <c r="U254" s="90" t="e">
        <f t="shared" ca="1" si="111"/>
        <v>#NAME?</v>
      </c>
      <c r="V254" s="200">
        <f>V428</f>
        <v>4000</v>
      </c>
      <c r="W254" s="200">
        <f>W428</f>
        <v>4000</v>
      </c>
      <c r="X254" s="159">
        <f>X428</f>
        <v>4000</v>
      </c>
      <c r="Y254" s="183">
        <f>Y428</f>
        <v>5000</v>
      </c>
      <c r="Z254" s="183"/>
      <c r="AA254" s="183" t="e">
        <f ca="1">AA428</f>
        <v>#NAME?</v>
      </c>
      <c r="AB254" s="183">
        <f>AB428</f>
        <v>0</v>
      </c>
      <c r="AC254" s="183">
        <f>AC428</f>
        <v>4000</v>
      </c>
      <c r="AD254" s="183">
        <f>AD428</f>
        <v>4000</v>
      </c>
      <c r="AE254" s="178">
        <f>O254/M254*100</f>
        <v>88.956498352719692</v>
      </c>
      <c r="AF254" s="178">
        <f>P254/O254*100</f>
        <v>113.8959223007445</v>
      </c>
      <c r="AG254" s="178">
        <f>Q254/P254*100</f>
        <v>25</v>
      </c>
      <c r="AH254" s="178">
        <f t="shared" si="190"/>
        <v>400</v>
      </c>
      <c r="AI254" s="183"/>
      <c r="AJ254" s="183">
        <v>5000</v>
      </c>
      <c r="AK254" s="171">
        <f t="shared" si="134"/>
        <v>1342.2818791946308</v>
      </c>
      <c r="AL254" s="171">
        <f t="shared" si="135"/>
        <v>100</v>
      </c>
      <c r="AM254" s="171">
        <f t="shared" si="135"/>
        <v>125</v>
      </c>
      <c r="AN254" s="165"/>
      <c r="AO254" s="193"/>
      <c r="AP254" s="193" t="e">
        <f t="shared" ca="1" si="112"/>
        <v>#NAME?</v>
      </c>
      <c r="AQ254" s="200">
        <f>AQ428</f>
        <v>33.18</v>
      </c>
      <c r="AR254" s="204">
        <f t="shared" si="163"/>
        <v>1342.2818791946308</v>
      </c>
      <c r="AS254" s="204">
        <f t="shared" si="164"/>
        <v>100</v>
      </c>
      <c r="AT254" s="204">
        <f t="shared" si="165"/>
        <v>1342.2818791946308</v>
      </c>
      <c r="AU254" s="204">
        <f t="shared" si="166"/>
        <v>0.82950000000000002</v>
      </c>
      <c r="AV254" s="204">
        <f t="shared" si="167"/>
        <v>0.82950000000000002</v>
      </c>
    </row>
    <row r="255" spans="1:48" ht="12" customHeight="1">
      <c r="A255" s="53"/>
      <c r="B255" s="53"/>
      <c r="C255" s="53"/>
      <c r="D255" s="53"/>
      <c r="E255" s="53"/>
      <c r="F255" s="53"/>
      <c r="G255" s="53"/>
      <c r="H255" s="64">
        <v>3299</v>
      </c>
      <c r="I255" s="117"/>
      <c r="J255" s="118"/>
      <c r="K255" s="18" t="s">
        <v>257</v>
      </c>
      <c r="L255" s="130">
        <f t="shared" ref="L255:S255" si="201">L429+L430+L431+L432+L433+L434+L435+L436+L437+L438+L440+L441+L505+L506+L774+L835+L836+L837+L838+L1040+L1102+L1167+L1201+L1103</f>
        <v>1026410</v>
      </c>
      <c r="M255" s="130">
        <f t="shared" si="201"/>
        <v>136228.01778485632</v>
      </c>
      <c r="N255" s="131">
        <f t="shared" si="201"/>
        <v>928928</v>
      </c>
      <c r="O255" s="131">
        <f t="shared" si="201"/>
        <v>123289.93297498173</v>
      </c>
      <c r="P255" s="132">
        <f t="shared" si="201"/>
        <v>166500</v>
      </c>
      <c r="Q255" s="132">
        <f t="shared" si="201"/>
        <v>208000</v>
      </c>
      <c r="R255" s="159">
        <f t="shared" si="201"/>
        <v>187507</v>
      </c>
      <c r="S255" s="165" t="e">
        <f t="shared" ca="1" si="201"/>
        <v>#NAME?</v>
      </c>
      <c r="T255" s="165"/>
      <c r="U255" s="90" t="e">
        <f t="shared" ca="1" si="111"/>
        <v>#NAME?</v>
      </c>
      <c r="V255" s="200">
        <f>V429+V430+V431+V432+V433+V434+V435+V436+V437+V438+V440+V441+V505+V506+V774+V835+V836+V837+V838+V1040+V1102+V1167+V1201+V1103</f>
        <v>279550.25</v>
      </c>
      <c r="W255" s="200">
        <f>W429+W430+W431+W432+W433+W434+W435+W436+W437+W438+W440+W441+W505+W506+W774+W835+W836+W837+W838+W1040+W1102+W1167+W1201+W1103</f>
        <v>279550.25</v>
      </c>
      <c r="X255" s="159">
        <f t="shared" ref="X255:AD255" si="202">X429+X430+X431+X432+X433+X434+X435+X436+X437+X438+X440+X441+X505+X506+X774+X835+X836+X837+X838+X1040+X1102+X1167+X1201+X1103</f>
        <v>413650</v>
      </c>
      <c r="Y255" s="183">
        <f t="shared" si="202"/>
        <v>395400.3</v>
      </c>
      <c r="Z255" s="183"/>
      <c r="AA255" s="183" t="e">
        <f t="shared" ca="1" si="202"/>
        <v>#NAME?</v>
      </c>
      <c r="AB255" s="183">
        <f t="shared" si="202"/>
        <v>0</v>
      </c>
      <c r="AC255" s="183">
        <f t="shared" si="202"/>
        <v>211700</v>
      </c>
      <c r="AD255" s="183">
        <f t="shared" si="202"/>
        <v>211700</v>
      </c>
      <c r="AE255" s="178">
        <f>O255/M255*100</f>
        <v>90.502625656414097</v>
      </c>
      <c r="AF255" s="178">
        <f>P255/O255*100</f>
        <v>135.0475225205829</v>
      </c>
      <c r="AG255" s="178">
        <f>Q255/P255*100</f>
        <v>124.92492492492492</v>
      </c>
      <c r="AH255" s="178">
        <f t="shared" si="190"/>
        <v>101.77884615384616</v>
      </c>
      <c r="AI255" s="183"/>
      <c r="AJ255" s="183">
        <v>395400.3</v>
      </c>
      <c r="AK255" s="171">
        <f t="shared" si="134"/>
        <v>149.08790071837319</v>
      </c>
      <c r="AL255" s="171">
        <f t="shared" si="135"/>
        <v>147.9698193795212</v>
      </c>
      <c r="AM255" s="171">
        <f t="shared" si="135"/>
        <v>95.588130061646311</v>
      </c>
      <c r="AN255" s="165"/>
      <c r="AO255" s="193"/>
      <c r="AP255" s="193" t="e">
        <f t="shared" ca="1" si="112"/>
        <v>#NAME?</v>
      </c>
      <c r="AQ255" s="200">
        <f>AQ429+AQ430+AQ431+AQ432+AQ433+AQ434+AQ435+AQ436+AQ437+AQ438+AQ440+AQ441+AQ505+AQ506+AQ774+AQ835+AQ836+AQ837+AQ838+AQ1040+AQ1102+AQ1167+AQ1201+AQ1103</f>
        <v>269745.76</v>
      </c>
      <c r="AR255" s="204">
        <f t="shared" si="163"/>
        <v>149.08790071837319</v>
      </c>
      <c r="AS255" s="204">
        <f t="shared" si="164"/>
        <v>100</v>
      </c>
      <c r="AT255" s="204">
        <f t="shared" si="165"/>
        <v>149.08790071837319</v>
      </c>
      <c r="AU255" s="204">
        <f t="shared" si="166"/>
        <v>96.492762929026171</v>
      </c>
      <c r="AV255" s="204">
        <f t="shared" si="167"/>
        <v>96.492762929026171</v>
      </c>
    </row>
    <row r="256" spans="1:48" ht="12" customHeight="1">
      <c r="A256" s="53"/>
      <c r="B256" s="53"/>
      <c r="C256" s="53"/>
      <c r="D256" s="53"/>
      <c r="E256" s="53"/>
      <c r="F256" s="53"/>
      <c r="G256" s="53"/>
      <c r="H256" s="64"/>
      <c r="I256" s="117"/>
      <c r="J256" s="118"/>
      <c r="K256" s="18"/>
      <c r="L256" s="119"/>
      <c r="M256" s="119"/>
      <c r="N256" s="120"/>
      <c r="O256" s="120"/>
      <c r="P256" s="121"/>
      <c r="Q256" s="121"/>
      <c r="R256" s="157"/>
      <c r="S256" s="158"/>
      <c r="T256" s="158"/>
      <c r="U256" s="90" t="e">
        <f t="shared" ca="1" si="111"/>
        <v>#NAME?</v>
      </c>
      <c r="V256" s="200"/>
      <c r="W256" s="200"/>
      <c r="X256" s="159"/>
      <c r="Y256" s="179"/>
      <c r="Z256" s="179"/>
      <c r="AA256" s="179"/>
      <c r="AB256" s="179"/>
      <c r="AC256" s="180"/>
      <c r="AD256" s="180"/>
      <c r="AE256" s="178"/>
      <c r="AF256" s="178"/>
      <c r="AG256" s="178"/>
      <c r="AH256" s="178"/>
      <c r="AI256" s="179"/>
      <c r="AJ256" s="179"/>
      <c r="AK256" s="171"/>
      <c r="AL256" s="171"/>
      <c r="AM256" s="171"/>
      <c r="AN256" s="158"/>
      <c r="AO256" s="193"/>
      <c r="AP256" s="193" t="e">
        <f t="shared" ca="1" si="112"/>
        <v>#NAME?</v>
      </c>
      <c r="AQ256" s="200"/>
      <c r="AR256" s="204"/>
      <c r="AS256" s="204"/>
      <c r="AT256" s="204"/>
      <c r="AU256" s="204"/>
      <c r="AV256" s="204"/>
    </row>
    <row r="257" spans="1:48" ht="12" customHeight="1">
      <c r="A257" s="59"/>
      <c r="B257" s="59"/>
      <c r="C257" s="59"/>
      <c r="D257" s="59"/>
      <c r="E257" s="59"/>
      <c r="F257" s="59"/>
      <c r="G257" s="59"/>
      <c r="H257" s="60">
        <v>34</v>
      </c>
      <c r="I257" s="125"/>
      <c r="J257" s="126"/>
      <c r="K257" s="127" t="s">
        <v>264</v>
      </c>
      <c r="L257" s="112">
        <f t="shared" ref="L257:S257" si="203">L259+L262</f>
        <v>210754</v>
      </c>
      <c r="M257" s="112">
        <f t="shared" si="203"/>
        <v>27971.862764616097</v>
      </c>
      <c r="N257" s="113">
        <f t="shared" si="203"/>
        <v>189957</v>
      </c>
      <c r="O257" s="113">
        <f t="shared" si="203"/>
        <v>25211.626518017118</v>
      </c>
      <c r="P257" s="114">
        <f t="shared" si="203"/>
        <v>30600</v>
      </c>
      <c r="Q257" s="114">
        <f t="shared" si="203"/>
        <v>69200</v>
      </c>
      <c r="R257" s="88">
        <f t="shared" si="203"/>
        <v>64032</v>
      </c>
      <c r="S257" s="90" t="e">
        <f t="shared" ca="1" si="203"/>
        <v>#NAME?</v>
      </c>
      <c r="T257" s="90"/>
      <c r="U257" s="90" t="e">
        <f t="shared" ca="1" si="111"/>
        <v>#NAME?</v>
      </c>
      <c r="V257" s="200">
        <f>V259+V262</f>
        <v>81930</v>
      </c>
      <c r="W257" s="200">
        <f>W259+W262</f>
        <v>81930</v>
      </c>
      <c r="X257" s="88">
        <f>X259+X262</f>
        <v>100750</v>
      </c>
      <c r="Y257" s="171">
        <f>Y259+Y262</f>
        <v>118950</v>
      </c>
      <c r="Z257" s="171"/>
      <c r="AA257" s="171" t="e">
        <f ca="1">AA259+AA262</f>
        <v>#NAME?</v>
      </c>
      <c r="AB257" s="171">
        <f>AB259+AB262</f>
        <v>0</v>
      </c>
      <c r="AC257" s="172">
        <f>AC259+AC262</f>
        <v>31600</v>
      </c>
      <c r="AD257" s="172">
        <f>AD259+AD262</f>
        <v>31600</v>
      </c>
      <c r="AE257" s="178">
        <f>O257/M257*100</f>
        <v>90.132097136946385</v>
      </c>
      <c r="AF257" s="178">
        <f>P257/O257*100</f>
        <v>121.37257379301633</v>
      </c>
      <c r="AG257" s="178">
        <f>Q257/P257*100</f>
        <v>226.14379084967319</v>
      </c>
      <c r="AH257" s="178">
        <f>AC257/Q257*100</f>
        <v>45.664739884393065</v>
      </c>
      <c r="AI257" s="171"/>
      <c r="AJ257" s="171">
        <v>118950</v>
      </c>
      <c r="AK257" s="171">
        <f t="shared" si="134"/>
        <v>127.95164917541229</v>
      </c>
      <c r="AL257" s="171">
        <f t="shared" si="135"/>
        <v>122.97082875625533</v>
      </c>
      <c r="AM257" s="171">
        <f t="shared" si="135"/>
        <v>118.06451612903226</v>
      </c>
      <c r="AN257" s="90"/>
      <c r="AO257" s="193"/>
      <c r="AP257" s="193" t="e">
        <f t="shared" ca="1" si="112"/>
        <v>#NAME?</v>
      </c>
      <c r="AQ257" s="200">
        <f>AQ259+AQ262</f>
        <v>35961.33</v>
      </c>
      <c r="AR257" s="204">
        <f t="shared" si="163"/>
        <v>127.95164917541229</v>
      </c>
      <c r="AS257" s="204">
        <f t="shared" si="164"/>
        <v>100</v>
      </c>
      <c r="AT257" s="204">
        <f t="shared" si="165"/>
        <v>127.95164917541229</v>
      </c>
      <c r="AU257" s="204">
        <f t="shared" si="166"/>
        <v>43.892749908458448</v>
      </c>
      <c r="AV257" s="204">
        <f t="shared" si="167"/>
        <v>43.892749908458448</v>
      </c>
    </row>
    <row r="258" spans="1:48" ht="12" customHeight="1">
      <c r="A258" s="206"/>
      <c r="B258" s="206"/>
      <c r="C258" s="206"/>
      <c r="D258" s="206"/>
      <c r="E258" s="206"/>
      <c r="F258" s="206"/>
      <c r="G258" s="206"/>
      <c r="H258" s="207"/>
      <c r="I258" s="212"/>
      <c r="J258" s="213"/>
      <c r="K258" s="214"/>
      <c r="L258" s="112"/>
      <c r="M258" s="112"/>
      <c r="N258" s="113"/>
      <c r="O258" s="113"/>
      <c r="P258" s="114"/>
      <c r="Q258" s="114"/>
      <c r="R258" s="88"/>
      <c r="S258" s="90"/>
      <c r="T258" s="90"/>
      <c r="U258" s="90" t="e">
        <f t="shared" ca="1" si="111"/>
        <v>#NAME?</v>
      </c>
      <c r="V258" s="200"/>
      <c r="W258" s="200"/>
      <c r="X258" s="88"/>
      <c r="Y258" s="171"/>
      <c r="Z258" s="171"/>
      <c r="AA258" s="171"/>
      <c r="AB258" s="171"/>
      <c r="AC258" s="172"/>
      <c r="AD258" s="172"/>
      <c r="AE258" s="178"/>
      <c r="AF258" s="178"/>
      <c r="AG258" s="178"/>
      <c r="AH258" s="178"/>
      <c r="AI258" s="171"/>
      <c r="AJ258" s="171"/>
      <c r="AK258" s="171"/>
      <c r="AL258" s="171"/>
      <c r="AM258" s="171"/>
      <c r="AN258" s="90"/>
      <c r="AO258" s="193"/>
      <c r="AP258" s="193" t="e">
        <f t="shared" ca="1" si="112"/>
        <v>#NAME?</v>
      </c>
      <c r="AQ258" s="200"/>
      <c r="AR258" s="204"/>
      <c r="AS258" s="204"/>
      <c r="AT258" s="204"/>
      <c r="AU258" s="204"/>
      <c r="AV258" s="204"/>
    </row>
    <row r="259" spans="1:48" ht="12" customHeight="1">
      <c r="A259" s="272"/>
      <c r="B259" s="272"/>
      <c r="C259" s="272"/>
      <c r="D259" s="272"/>
      <c r="E259" s="272"/>
      <c r="F259" s="272"/>
      <c r="G259" s="272"/>
      <c r="H259" s="63">
        <v>342</v>
      </c>
      <c r="I259" s="128"/>
      <c r="J259" s="129"/>
      <c r="K259" s="19" t="s">
        <v>265</v>
      </c>
      <c r="L259" s="112">
        <f t="shared" ref="L259:AD259" si="204">L260</f>
        <v>14909</v>
      </c>
      <c r="M259" s="112">
        <f t="shared" si="204"/>
        <v>1978.7643506536597</v>
      </c>
      <c r="N259" s="113">
        <f t="shared" si="204"/>
        <v>14777</v>
      </c>
      <c r="O259" s="113">
        <f t="shared" si="204"/>
        <v>1961.244939942929</v>
      </c>
      <c r="P259" s="114">
        <f t="shared" si="204"/>
        <v>2700</v>
      </c>
      <c r="Q259" s="114">
        <f t="shared" si="204"/>
        <v>2700</v>
      </c>
      <c r="R259" s="88">
        <f t="shared" si="204"/>
        <v>382</v>
      </c>
      <c r="S259" s="90" t="e">
        <f t="shared" ca="1" si="204"/>
        <v>#NAME?</v>
      </c>
      <c r="T259" s="90"/>
      <c r="U259" s="90" t="e">
        <f t="shared" ca="1" si="111"/>
        <v>#NAME?</v>
      </c>
      <c r="V259" s="200">
        <f>V260</f>
        <v>600</v>
      </c>
      <c r="W259" s="200">
        <f t="shared" si="204"/>
        <v>600</v>
      </c>
      <c r="X259" s="88">
        <f t="shared" si="204"/>
        <v>1000</v>
      </c>
      <c r="Y259" s="171">
        <f t="shared" si="204"/>
        <v>1000</v>
      </c>
      <c r="Z259" s="171"/>
      <c r="AA259" s="171" t="e">
        <f t="shared" ca="1" si="204"/>
        <v>#NAME?</v>
      </c>
      <c r="AB259" s="171">
        <f t="shared" si="204"/>
        <v>0</v>
      </c>
      <c r="AC259" s="172">
        <f t="shared" si="204"/>
        <v>2700</v>
      </c>
      <c r="AD259" s="172">
        <f t="shared" si="204"/>
        <v>2700</v>
      </c>
      <c r="AE259" s="178">
        <f>O259/M259*100</f>
        <v>99.114628747736262</v>
      </c>
      <c r="AF259" s="178">
        <f>P259/O259*100</f>
        <v>137.66765920010829</v>
      </c>
      <c r="AG259" s="178">
        <f>Q259/P259*100</f>
        <v>100</v>
      </c>
      <c r="AH259" s="178">
        <f>AC259/Q259*100</f>
        <v>100</v>
      </c>
      <c r="AI259" s="171"/>
      <c r="AJ259" s="171">
        <v>1000</v>
      </c>
      <c r="AK259" s="171">
        <f t="shared" si="134"/>
        <v>157.06806282722513</v>
      </c>
      <c r="AL259" s="171">
        <f t="shared" si="135"/>
        <v>166.66666666666669</v>
      </c>
      <c r="AM259" s="171">
        <f t="shared" si="135"/>
        <v>100</v>
      </c>
      <c r="AN259" s="90"/>
      <c r="AO259" s="193"/>
      <c r="AP259" s="193" t="e">
        <f t="shared" ca="1" si="112"/>
        <v>#NAME?</v>
      </c>
      <c r="AQ259" s="200">
        <f>AQ260</f>
        <v>466.87</v>
      </c>
      <c r="AR259" s="204">
        <f t="shared" si="163"/>
        <v>157.06806282722513</v>
      </c>
      <c r="AS259" s="204">
        <f t="shared" si="164"/>
        <v>100</v>
      </c>
      <c r="AT259" s="204">
        <f t="shared" si="165"/>
        <v>157.06806282722513</v>
      </c>
      <c r="AU259" s="204">
        <f t="shared" si="166"/>
        <v>77.811666666666667</v>
      </c>
      <c r="AV259" s="204">
        <f t="shared" si="167"/>
        <v>77.811666666666667</v>
      </c>
    </row>
    <row r="260" spans="1:48" ht="12" customHeight="1">
      <c r="A260" s="206"/>
      <c r="B260" s="206"/>
      <c r="C260" s="206"/>
      <c r="D260" s="206"/>
      <c r="E260" s="206"/>
      <c r="F260" s="206"/>
      <c r="G260" s="206"/>
      <c r="H260" s="273">
        <v>3423</v>
      </c>
      <c r="I260" s="275"/>
      <c r="J260" s="276"/>
      <c r="K260" s="18" t="s">
        <v>266</v>
      </c>
      <c r="L260" s="130">
        <f t="shared" ref="L260:S260" si="205">L482</f>
        <v>14909</v>
      </c>
      <c r="M260" s="130">
        <f t="shared" si="205"/>
        <v>1978.7643506536597</v>
      </c>
      <c r="N260" s="131">
        <f t="shared" si="205"/>
        <v>14777</v>
      </c>
      <c r="O260" s="131">
        <f t="shared" si="205"/>
        <v>1961.244939942929</v>
      </c>
      <c r="P260" s="132">
        <f t="shared" si="205"/>
        <v>2700</v>
      </c>
      <c r="Q260" s="132">
        <f t="shared" si="205"/>
        <v>2700</v>
      </c>
      <c r="R260" s="159">
        <f t="shared" si="205"/>
        <v>382</v>
      </c>
      <c r="S260" s="165" t="e">
        <f t="shared" ca="1" si="205"/>
        <v>#NAME?</v>
      </c>
      <c r="T260" s="165"/>
      <c r="U260" s="90" t="e">
        <f t="shared" ca="1" si="111"/>
        <v>#NAME?</v>
      </c>
      <c r="V260" s="200">
        <f>V482</f>
        <v>600</v>
      </c>
      <c r="W260" s="200">
        <f>W482</f>
        <v>600</v>
      </c>
      <c r="X260" s="159">
        <f>X482</f>
        <v>1000</v>
      </c>
      <c r="Y260" s="183">
        <f>Y482</f>
        <v>1000</v>
      </c>
      <c r="Z260" s="183"/>
      <c r="AA260" s="183" t="e">
        <f ca="1">AA482</f>
        <v>#NAME?</v>
      </c>
      <c r="AB260" s="183">
        <f>AB482</f>
        <v>0</v>
      </c>
      <c r="AC260" s="178">
        <f>AC482</f>
        <v>2700</v>
      </c>
      <c r="AD260" s="178">
        <f>AD482</f>
        <v>2700</v>
      </c>
      <c r="AE260" s="178">
        <f>O260/M260*100</f>
        <v>99.114628747736262</v>
      </c>
      <c r="AF260" s="178">
        <f>P260/O260*100</f>
        <v>137.66765920010829</v>
      </c>
      <c r="AG260" s="178">
        <f>Q260/P260*100</f>
        <v>100</v>
      </c>
      <c r="AH260" s="178">
        <f>AC260/Q260*100</f>
        <v>100</v>
      </c>
      <c r="AI260" s="183"/>
      <c r="AJ260" s="183">
        <v>1000</v>
      </c>
      <c r="AK260" s="171">
        <f t="shared" si="134"/>
        <v>157.06806282722513</v>
      </c>
      <c r="AL260" s="171">
        <f t="shared" si="135"/>
        <v>166.66666666666669</v>
      </c>
      <c r="AM260" s="171">
        <f t="shared" si="135"/>
        <v>100</v>
      </c>
      <c r="AN260" s="165"/>
      <c r="AO260" s="193"/>
      <c r="AP260" s="193" t="e">
        <f t="shared" ca="1" si="112"/>
        <v>#NAME?</v>
      </c>
      <c r="AQ260" s="200">
        <f>AQ482</f>
        <v>466.87</v>
      </c>
      <c r="AR260" s="204">
        <f t="shared" si="163"/>
        <v>157.06806282722513</v>
      </c>
      <c r="AS260" s="204">
        <f t="shared" si="164"/>
        <v>100</v>
      </c>
      <c r="AT260" s="204">
        <f t="shared" si="165"/>
        <v>157.06806282722513</v>
      </c>
      <c r="AU260" s="204">
        <f t="shared" si="166"/>
        <v>77.811666666666667</v>
      </c>
      <c r="AV260" s="204">
        <f t="shared" si="167"/>
        <v>77.811666666666667</v>
      </c>
    </row>
    <row r="261" spans="1:48" ht="12" customHeight="1">
      <c r="A261" s="53"/>
      <c r="B261" s="53"/>
      <c r="C261" s="53"/>
      <c r="D261" s="53"/>
      <c r="E261" s="53"/>
      <c r="F261" s="53"/>
      <c r="G261" s="53"/>
      <c r="H261" s="64"/>
      <c r="I261" s="117"/>
      <c r="J261" s="118"/>
      <c r="K261" s="18"/>
      <c r="L261" s="119"/>
      <c r="M261" s="119"/>
      <c r="N261" s="120"/>
      <c r="O261" s="120"/>
      <c r="P261" s="121"/>
      <c r="Q261" s="121"/>
      <c r="R261" s="157"/>
      <c r="S261" s="158"/>
      <c r="T261" s="158"/>
      <c r="U261" s="90" t="e">
        <f t="shared" ca="1" si="111"/>
        <v>#NAME?</v>
      </c>
      <c r="V261" s="200"/>
      <c r="W261" s="200"/>
      <c r="X261" s="159"/>
      <c r="Y261" s="179"/>
      <c r="Z261" s="179"/>
      <c r="AA261" s="179"/>
      <c r="AB261" s="179"/>
      <c r="AC261" s="180"/>
      <c r="AD261" s="180"/>
      <c r="AE261" s="178"/>
      <c r="AF261" s="178"/>
      <c r="AG261" s="178"/>
      <c r="AH261" s="178"/>
      <c r="AI261" s="179"/>
      <c r="AJ261" s="179"/>
      <c r="AK261" s="171"/>
      <c r="AL261" s="171"/>
      <c r="AM261" s="171"/>
      <c r="AN261" s="158"/>
      <c r="AO261" s="193"/>
      <c r="AP261" s="193" t="e">
        <f t="shared" ca="1" si="112"/>
        <v>#NAME?</v>
      </c>
      <c r="AQ261" s="200"/>
      <c r="AR261" s="204"/>
      <c r="AS261" s="204"/>
      <c r="AT261" s="204"/>
      <c r="AU261" s="204"/>
      <c r="AV261" s="204"/>
    </row>
    <row r="262" spans="1:48" ht="12" customHeight="1">
      <c r="A262" s="62"/>
      <c r="B262" s="62"/>
      <c r="C262" s="62"/>
      <c r="D262" s="62"/>
      <c r="E262" s="62"/>
      <c r="F262" s="62"/>
      <c r="G262" s="62"/>
      <c r="H262" s="63">
        <v>343</v>
      </c>
      <c r="I262" s="128"/>
      <c r="J262" s="129"/>
      <c r="K262" s="19" t="s">
        <v>267</v>
      </c>
      <c r="L262" s="112">
        <f t="shared" ref="L262:S262" si="206">L263+L264+L265+L266</f>
        <v>195845</v>
      </c>
      <c r="M262" s="112">
        <f t="shared" si="206"/>
        <v>25993.098413962438</v>
      </c>
      <c r="N262" s="113">
        <f t="shared" si="206"/>
        <v>175180</v>
      </c>
      <c r="O262" s="113">
        <f t="shared" si="206"/>
        <v>23250.38157807419</v>
      </c>
      <c r="P262" s="114">
        <f t="shared" si="206"/>
        <v>27900</v>
      </c>
      <c r="Q262" s="114">
        <f t="shared" si="206"/>
        <v>66500</v>
      </c>
      <c r="R262" s="88">
        <f t="shared" si="206"/>
        <v>63650</v>
      </c>
      <c r="S262" s="90" t="e">
        <f t="shared" ca="1" si="206"/>
        <v>#NAME?</v>
      </c>
      <c r="T262" s="90"/>
      <c r="U262" s="90" t="e">
        <f t="shared" ref="U262:U311" ca="1" si="207">__xlfn.ISFORMULA(S262)</f>
        <v>#NAME?</v>
      </c>
      <c r="V262" s="200">
        <f>V263+V264+V265+V266</f>
        <v>81330</v>
      </c>
      <c r="W262" s="200">
        <f>W263+W264+W265+W266</f>
        <v>81330</v>
      </c>
      <c r="X262" s="88">
        <f>X263+X264+X265+X266</f>
        <v>99750</v>
      </c>
      <c r="Y262" s="171">
        <f>Y263+Y264+Y265+Y266</f>
        <v>117950</v>
      </c>
      <c r="Z262" s="171"/>
      <c r="AA262" s="171" t="e">
        <f ca="1">AA263+AA264+AA265+AA266</f>
        <v>#NAME?</v>
      </c>
      <c r="AB262" s="171">
        <f>AB263+AB264+AB265+AB266</f>
        <v>0</v>
      </c>
      <c r="AC262" s="172">
        <f>AC263+AC264+AC265+AC266</f>
        <v>28900</v>
      </c>
      <c r="AD262" s="172">
        <f>AD263+AD264+AD265+AD266</f>
        <v>28900</v>
      </c>
      <c r="AE262" s="178">
        <f>O262/M262*100</f>
        <v>89.448288187086717</v>
      </c>
      <c r="AF262" s="178">
        <f>P262/O262*100</f>
        <v>119.99803059710015</v>
      </c>
      <c r="AG262" s="178">
        <f>Q262/P262*100</f>
        <v>238.35125448028674</v>
      </c>
      <c r="AH262" s="178">
        <f>AC262/Q262*100</f>
        <v>43.458646616541351</v>
      </c>
      <c r="AI262" s="171"/>
      <c r="AJ262" s="171">
        <v>117950</v>
      </c>
      <c r="AK262" s="171">
        <f t="shared" si="134"/>
        <v>127.77690494893952</v>
      </c>
      <c r="AL262" s="171">
        <f t="shared" si="135"/>
        <v>122.64846919955737</v>
      </c>
      <c r="AM262" s="171">
        <f t="shared" si="135"/>
        <v>118.24561403508771</v>
      </c>
      <c r="AN262" s="90"/>
      <c r="AO262" s="193"/>
      <c r="AP262" s="193" t="e">
        <f t="shared" ref="AP262:AP325" ca="1" si="208">__xlfn.ISFORMULA(X262)</f>
        <v>#NAME?</v>
      </c>
      <c r="AQ262" s="200">
        <f>AQ263+AQ264+AQ265+AQ266</f>
        <v>35494.46</v>
      </c>
      <c r="AR262" s="204">
        <f t="shared" si="163"/>
        <v>127.77690494893952</v>
      </c>
      <c r="AS262" s="204">
        <f t="shared" si="164"/>
        <v>100</v>
      </c>
      <c r="AT262" s="204">
        <f t="shared" si="165"/>
        <v>127.77690494893952</v>
      </c>
      <c r="AU262" s="204">
        <f t="shared" si="166"/>
        <v>43.642518135989178</v>
      </c>
      <c r="AV262" s="204">
        <f t="shared" si="167"/>
        <v>43.642518135989178</v>
      </c>
    </row>
    <row r="263" spans="1:48" ht="12" customHeight="1">
      <c r="A263" s="53"/>
      <c r="B263" s="53"/>
      <c r="C263" s="53"/>
      <c r="D263" s="53"/>
      <c r="E263" s="53"/>
      <c r="F263" s="53"/>
      <c r="G263" s="53"/>
      <c r="H263" s="64">
        <v>3431</v>
      </c>
      <c r="I263" s="117"/>
      <c r="J263" s="118"/>
      <c r="K263" s="18" t="s">
        <v>268</v>
      </c>
      <c r="L263" s="130">
        <f t="shared" ref="L263:S263" si="209">L485+L1044+L1107+L1171</f>
        <v>59738</v>
      </c>
      <c r="M263" s="130">
        <f t="shared" si="209"/>
        <v>7928.5951290729308</v>
      </c>
      <c r="N263" s="131">
        <f t="shared" si="209"/>
        <v>53441</v>
      </c>
      <c r="O263" s="131">
        <f t="shared" si="209"/>
        <v>7092.8396044860301</v>
      </c>
      <c r="P263" s="132">
        <f t="shared" si="209"/>
        <v>8100</v>
      </c>
      <c r="Q263" s="132">
        <f t="shared" si="209"/>
        <v>9500</v>
      </c>
      <c r="R263" s="159">
        <f t="shared" si="209"/>
        <v>9668</v>
      </c>
      <c r="S263" s="165">
        <f t="shared" si="209"/>
        <v>7326</v>
      </c>
      <c r="T263" s="165"/>
      <c r="U263" s="90" t="e">
        <f t="shared" ca="1" si="207"/>
        <v>#NAME?</v>
      </c>
      <c r="V263" s="200">
        <f>V485+V1044+V1107+V1171</f>
        <v>12330</v>
      </c>
      <c r="W263" s="200">
        <f>W485+W1044+W1107+W1171</f>
        <v>12330</v>
      </c>
      <c r="X263" s="159">
        <f t="shared" ref="X263:AD263" si="210">X485+X1044+X1107+X1171</f>
        <v>12750</v>
      </c>
      <c r="Y263" s="183">
        <f t="shared" si="210"/>
        <v>13950</v>
      </c>
      <c r="Z263" s="183"/>
      <c r="AA263" s="183" t="e">
        <f t="shared" ca="1" si="210"/>
        <v>#NAME?</v>
      </c>
      <c r="AB263" s="183">
        <f t="shared" si="210"/>
        <v>0</v>
      </c>
      <c r="AC263" s="178">
        <f t="shared" si="210"/>
        <v>8200</v>
      </c>
      <c r="AD263" s="178">
        <f t="shared" si="210"/>
        <v>8200</v>
      </c>
      <c r="AE263" s="178">
        <f>O263/M263*100</f>
        <v>89.458970839331741</v>
      </c>
      <c r="AF263" s="178">
        <f>P263/O263*100</f>
        <v>114.19967814973523</v>
      </c>
      <c r="AG263" s="178">
        <f>Q263/P263*100</f>
        <v>117.28395061728396</v>
      </c>
      <c r="AH263" s="178">
        <f>AC263/Q263*100</f>
        <v>86.31578947368422</v>
      </c>
      <c r="AI263" s="183"/>
      <c r="AJ263" s="183">
        <v>13950</v>
      </c>
      <c r="AK263" s="171">
        <f t="shared" si="134"/>
        <v>127.53413322300374</v>
      </c>
      <c r="AL263" s="171">
        <f t="shared" si="135"/>
        <v>103.40632603406326</v>
      </c>
      <c r="AM263" s="171">
        <f t="shared" si="135"/>
        <v>109.41176470588236</v>
      </c>
      <c r="AN263" s="165"/>
      <c r="AO263" s="193"/>
      <c r="AP263" s="193" t="e">
        <f t="shared" ca="1" si="208"/>
        <v>#NAME?</v>
      </c>
      <c r="AQ263" s="200">
        <f>AQ485+AQ1044+AQ1107+AQ1171</f>
        <v>11442.28</v>
      </c>
      <c r="AR263" s="204">
        <f t="shared" si="163"/>
        <v>127.53413322300374</v>
      </c>
      <c r="AS263" s="204">
        <f t="shared" si="164"/>
        <v>100</v>
      </c>
      <c r="AT263" s="204">
        <f t="shared" si="165"/>
        <v>127.53413322300374</v>
      </c>
      <c r="AU263" s="204">
        <f t="shared" si="166"/>
        <v>92.800324412003249</v>
      </c>
      <c r="AV263" s="204">
        <f t="shared" si="167"/>
        <v>92.800324412003249</v>
      </c>
    </row>
    <row r="264" spans="1:48" ht="12" customHeight="1">
      <c r="A264" s="53"/>
      <c r="B264" s="53"/>
      <c r="C264" s="53"/>
      <c r="D264" s="53"/>
      <c r="E264" s="53"/>
      <c r="F264" s="53"/>
      <c r="G264" s="53"/>
      <c r="H264" s="64">
        <v>3432</v>
      </c>
      <c r="I264" s="117"/>
      <c r="J264" s="118"/>
      <c r="K264" s="18" t="s">
        <v>269</v>
      </c>
      <c r="L264" s="130"/>
      <c r="M264" s="130"/>
      <c r="N264" s="131"/>
      <c r="O264" s="131"/>
      <c r="P264" s="132"/>
      <c r="Q264" s="132"/>
      <c r="R264" s="159"/>
      <c r="S264" s="165"/>
      <c r="T264" s="165"/>
      <c r="U264" s="90" t="e">
        <f t="shared" ca="1" si="207"/>
        <v>#NAME?</v>
      </c>
      <c r="V264" s="200"/>
      <c r="W264" s="200"/>
      <c r="X264" s="159"/>
      <c r="Y264" s="183"/>
      <c r="Z264" s="183"/>
      <c r="AA264" s="183"/>
      <c r="AB264" s="183"/>
      <c r="AC264" s="178"/>
      <c r="AD264" s="178"/>
      <c r="AE264" s="178"/>
      <c r="AF264" s="178"/>
      <c r="AG264" s="178"/>
      <c r="AH264" s="178"/>
      <c r="AI264" s="183"/>
      <c r="AJ264" s="183"/>
      <c r="AK264" s="171"/>
      <c r="AL264" s="171"/>
      <c r="AM264" s="171"/>
      <c r="AN264" s="165"/>
      <c r="AO264" s="193"/>
      <c r="AP264" s="193" t="e">
        <f t="shared" ca="1" si="208"/>
        <v>#NAME?</v>
      </c>
      <c r="AQ264" s="200"/>
      <c r="AR264" s="204"/>
      <c r="AS264" s="204"/>
      <c r="AT264" s="204"/>
      <c r="AU264" s="204"/>
      <c r="AV264" s="204"/>
    </row>
    <row r="265" spans="1:48" ht="12" customHeight="1">
      <c r="A265" s="53"/>
      <c r="B265" s="53"/>
      <c r="C265" s="53"/>
      <c r="D265" s="53"/>
      <c r="E265" s="53"/>
      <c r="F265" s="53"/>
      <c r="G265" s="53"/>
      <c r="H265" s="64">
        <v>3433</v>
      </c>
      <c r="I265" s="117"/>
      <c r="J265" s="118"/>
      <c r="K265" s="18" t="s">
        <v>270</v>
      </c>
      <c r="L265" s="130">
        <f t="shared" ref="L265:S265" si="211">L486</f>
        <v>57488</v>
      </c>
      <c r="M265" s="130">
        <f t="shared" si="211"/>
        <v>7629.9688101400225</v>
      </c>
      <c r="N265" s="131">
        <f t="shared" si="211"/>
        <v>2530</v>
      </c>
      <c r="O265" s="131">
        <f t="shared" si="211"/>
        <v>335.78870528900387</v>
      </c>
      <c r="P265" s="132">
        <f t="shared" si="211"/>
        <v>4000</v>
      </c>
      <c r="Q265" s="132">
        <f t="shared" si="211"/>
        <v>4000</v>
      </c>
      <c r="R265" s="159">
        <f t="shared" si="211"/>
        <v>537</v>
      </c>
      <c r="S265" s="165" t="e">
        <f t="shared" ca="1" si="211"/>
        <v>#NAME?</v>
      </c>
      <c r="T265" s="165"/>
      <c r="U265" s="90" t="e">
        <f t="shared" ca="1" si="207"/>
        <v>#NAME?</v>
      </c>
      <c r="V265" s="200">
        <f>V486</f>
        <v>4000</v>
      </c>
      <c r="W265" s="200">
        <f>W486</f>
        <v>4000</v>
      </c>
      <c r="X265" s="159">
        <f>X486</f>
        <v>4000</v>
      </c>
      <c r="Y265" s="183">
        <f>Y486</f>
        <v>4000</v>
      </c>
      <c r="Z265" s="183"/>
      <c r="AA265" s="183" t="e">
        <f ca="1">AA486</f>
        <v>#NAME?</v>
      </c>
      <c r="AB265" s="183">
        <f>AB486</f>
        <v>0</v>
      </c>
      <c r="AC265" s="178">
        <f>AC486</f>
        <v>4000</v>
      </c>
      <c r="AD265" s="178">
        <f>AD486</f>
        <v>4000</v>
      </c>
      <c r="AE265" s="178">
        <f>O265/M265*100</f>
        <v>4.4009184525466178</v>
      </c>
      <c r="AF265" s="178"/>
      <c r="AG265" s="178"/>
      <c r="AH265" s="178"/>
      <c r="AI265" s="183"/>
      <c r="AJ265" s="183">
        <v>4000</v>
      </c>
      <c r="AK265" s="171">
        <f t="shared" si="134"/>
        <v>744.87895716946002</v>
      </c>
      <c r="AL265" s="171">
        <f t="shared" si="135"/>
        <v>100</v>
      </c>
      <c r="AM265" s="171">
        <f t="shared" si="135"/>
        <v>100</v>
      </c>
      <c r="AN265" s="165"/>
      <c r="AO265" s="193"/>
      <c r="AP265" s="193" t="e">
        <f t="shared" ca="1" si="208"/>
        <v>#NAME?</v>
      </c>
      <c r="AQ265" s="200">
        <f>AQ486</f>
        <v>571.34</v>
      </c>
      <c r="AR265" s="204">
        <f>V265/R265*100</f>
        <v>744.87895716946002</v>
      </c>
      <c r="AS265" s="204">
        <f t="shared" ref="AS265:AS296" si="212">W265/V265*100</f>
        <v>100</v>
      </c>
      <c r="AT265" s="204">
        <f>W265/R265*100</f>
        <v>744.87895716946002</v>
      </c>
      <c r="AU265" s="204">
        <f>AQ265/W265*100</f>
        <v>14.283500000000002</v>
      </c>
      <c r="AV265" s="204">
        <f>AQ265/W265*100</f>
        <v>14.283500000000002</v>
      </c>
    </row>
    <row r="266" spans="1:48" ht="12" customHeight="1">
      <c r="A266" s="53"/>
      <c r="B266" s="53"/>
      <c r="C266" s="53"/>
      <c r="D266" s="53"/>
      <c r="E266" s="53"/>
      <c r="F266" s="53"/>
      <c r="G266" s="53"/>
      <c r="H266" s="64">
        <v>3434</v>
      </c>
      <c r="I266" s="117"/>
      <c r="J266" s="118"/>
      <c r="K266" s="18" t="s">
        <v>271</v>
      </c>
      <c r="L266" s="130">
        <f t="shared" ref="L266:S266" si="213">L487+L488+L489</f>
        <v>78619</v>
      </c>
      <c r="M266" s="130">
        <f t="shared" si="213"/>
        <v>10434.534474749486</v>
      </c>
      <c r="N266" s="131">
        <f t="shared" si="213"/>
        <v>119209</v>
      </c>
      <c r="O266" s="131">
        <f t="shared" si="213"/>
        <v>15821.753268299157</v>
      </c>
      <c r="P266" s="132">
        <f t="shared" si="213"/>
        <v>15800</v>
      </c>
      <c r="Q266" s="132">
        <f t="shared" si="213"/>
        <v>53000</v>
      </c>
      <c r="R266" s="159">
        <f t="shared" si="213"/>
        <v>53445</v>
      </c>
      <c r="S266" s="165" t="e">
        <f t="shared" ca="1" si="213"/>
        <v>#NAME?</v>
      </c>
      <c r="T266" s="165"/>
      <c r="U266" s="90" t="e">
        <f t="shared" ca="1" si="207"/>
        <v>#NAME?</v>
      </c>
      <c r="V266" s="200">
        <f>V487+V488+V489</f>
        <v>65000</v>
      </c>
      <c r="W266" s="200">
        <f>W487+W488+W489</f>
        <v>65000</v>
      </c>
      <c r="X266" s="159">
        <f>X487+X488+X489</f>
        <v>83000</v>
      </c>
      <c r="Y266" s="183">
        <f>Y487+Y488+Y489</f>
        <v>100000</v>
      </c>
      <c r="Z266" s="183"/>
      <c r="AA266" s="183" t="e">
        <f ca="1">AA487+AA488+AA489</f>
        <v>#NAME?</v>
      </c>
      <c r="AB266" s="183">
        <f>AB487+AB488+AB489</f>
        <v>0</v>
      </c>
      <c r="AC266" s="178">
        <f>AC487+AC488+AC489</f>
        <v>16700</v>
      </c>
      <c r="AD266" s="178">
        <f>AD487+AD488+AD489</f>
        <v>16700</v>
      </c>
      <c r="AE266" s="178">
        <f>O266/M266*100</f>
        <v>151.62874114399827</v>
      </c>
      <c r="AF266" s="178">
        <f>P266/O266*100</f>
        <v>99.862510380927617</v>
      </c>
      <c r="AG266" s="178">
        <f>Q266/P266*100</f>
        <v>335.44303797468353</v>
      </c>
      <c r="AH266" s="178">
        <f>AC266/Q266*100</f>
        <v>31.509433962264151</v>
      </c>
      <c r="AI266" s="183"/>
      <c r="AJ266" s="183">
        <v>100000</v>
      </c>
      <c r="AK266" s="171">
        <f t="shared" si="134"/>
        <v>121.62035737674243</v>
      </c>
      <c r="AL266" s="171">
        <f t="shared" si="135"/>
        <v>127.69230769230768</v>
      </c>
      <c r="AM266" s="171">
        <f t="shared" si="135"/>
        <v>120.48192771084338</v>
      </c>
      <c r="AN266" s="165"/>
      <c r="AO266" s="193"/>
      <c r="AP266" s="193" t="e">
        <f t="shared" ca="1" si="208"/>
        <v>#NAME?</v>
      </c>
      <c r="AQ266" s="200">
        <f>AQ487+AQ488+AQ489</f>
        <v>23480.84</v>
      </c>
      <c r="AR266" s="204">
        <f>V266/R266*100</f>
        <v>121.62035737674243</v>
      </c>
      <c r="AS266" s="204">
        <f t="shared" si="212"/>
        <v>100</v>
      </c>
      <c r="AT266" s="204">
        <f>W266/R266*100</f>
        <v>121.62035737674243</v>
      </c>
      <c r="AU266" s="204">
        <f>AQ266/W266*100</f>
        <v>36.124369230769233</v>
      </c>
      <c r="AV266" s="204">
        <f>AQ266/W266*100</f>
        <v>36.124369230769233</v>
      </c>
    </row>
    <row r="267" spans="1:48" ht="12" customHeight="1">
      <c r="A267" s="42"/>
      <c r="B267" s="42"/>
      <c r="C267" s="42"/>
      <c r="D267" s="42"/>
      <c r="E267" s="42"/>
      <c r="F267" s="42"/>
      <c r="G267" s="42"/>
      <c r="H267" s="38"/>
      <c r="I267" s="73"/>
      <c r="J267" s="74"/>
      <c r="K267" s="84"/>
      <c r="L267" s="85"/>
      <c r="M267" s="85"/>
      <c r="N267" s="86"/>
      <c r="O267" s="86"/>
      <c r="P267" s="87"/>
      <c r="Q267" s="87"/>
      <c r="R267" s="160"/>
      <c r="S267" s="161"/>
      <c r="T267" s="161"/>
      <c r="U267" s="90" t="e">
        <f t="shared" ca="1" si="207"/>
        <v>#NAME?</v>
      </c>
      <c r="V267" s="200"/>
      <c r="W267" s="200"/>
      <c r="X267" s="162"/>
      <c r="Y267" s="181"/>
      <c r="Z267" s="181"/>
      <c r="AA267" s="181"/>
      <c r="AB267" s="181"/>
      <c r="AC267" s="182"/>
      <c r="AD267" s="182"/>
      <c r="AE267" s="178"/>
      <c r="AF267" s="178"/>
      <c r="AG267" s="178"/>
      <c r="AH267" s="178"/>
      <c r="AI267" s="181"/>
      <c r="AJ267" s="181"/>
      <c r="AK267" s="171"/>
      <c r="AL267" s="171"/>
      <c r="AM267" s="171"/>
      <c r="AN267" s="161"/>
      <c r="AO267" s="193"/>
      <c r="AP267" s="193" t="e">
        <f t="shared" ca="1" si="208"/>
        <v>#NAME?</v>
      </c>
      <c r="AQ267" s="200"/>
      <c r="AR267" s="204"/>
      <c r="AS267" s="204"/>
      <c r="AT267" s="204"/>
      <c r="AU267" s="204"/>
      <c r="AV267" s="204"/>
    </row>
    <row r="268" spans="1:48" ht="12" customHeight="1">
      <c r="A268" s="59"/>
      <c r="B268" s="59"/>
      <c r="C268" s="59"/>
      <c r="D268" s="59"/>
      <c r="E268" s="59"/>
      <c r="F268" s="59"/>
      <c r="G268" s="59"/>
      <c r="H268" s="60">
        <v>35</v>
      </c>
      <c r="I268" s="125"/>
      <c r="J268" s="126"/>
      <c r="K268" s="127" t="s">
        <v>272</v>
      </c>
      <c r="L268" s="112">
        <f t="shared" ref="L268:S268" si="214">L270</f>
        <v>0</v>
      </c>
      <c r="M268" s="112">
        <f t="shared" si="214"/>
        <v>0</v>
      </c>
      <c r="N268" s="113">
        <f t="shared" si="214"/>
        <v>0</v>
      </c>
      <c r="O268" s="113">
        <f t="shared" si="214"/>
        <v>0</v>
      </c>
      <c r="P268" s="114">
        <f t="shared" si="214"/>
        <v>0</v>
      </c>
      <c r="Q268" s="114">
        <f t="shared" si="214"/>
        <v>0</v>
      </c>
      <c r="R268" s="88">
        <f t="shared" si="214"/>
        <v>0</v>
      </c>
      <c r="S268" s="90" t="e">
        <f t="shared" ca="1" si="214"/>
        <v>#NAME?</v>
      </c>
      <c r="T268" s="90"/>
      <c r="U268" s="90" t="e">
        <f t="shared" ca="1" si="207"/>
        <v>#NAME?</v>
      </c>
      <c r="V268" s="200">
        <f>V270</f>
        <v>0</v>
      </c>
      <c r="W268" s="200">
        <f>W270</f>
        <v>0</v>
      </c>
      <c r="X268" s="88">
        <f>X270</f>
        <v>7000</v>
      </c>
      <c r="Y268" s="171">
        <f>Y270</f>
        <v>7000</v>
      </c>
      <c r="Z268" s="171"/>
      <c r="AA268" s="171" t="e">
        <f ca="1">AA270</f>
        <v>#NAME?</v>
      </c>
      <c r="AB268" s="171">
        <f>AB270</f>
        <v>0</v>
      </c>
      <c r="AC268" s="172">
        <f>AC270</f>
        <v>5000</v>
      </c>
      <c r="AD268" s="172">
        <f>AD270</f>
        <v>5000</v>
      </c>
      <c r="AE268" s="178"/>
      <c r="AF268" s="178"/>
      <c r="AG268" s="178"/>
      <c r="AH268" s="178"/>
      <c r="AI268" s="171"/>
      <c r="AJ268" s="171">
        <v>7000</v>
      </c>
      <c r="AK268" s="171"/>
      <c r="AL268" s="171"/>
      <c r="AM268" s="171">
        <f t="shared" si="135"/>
        <v>100</v>
      </c>
      <c r="AN268" s="90"/>
      <c r="AO268" s="193"/>
      <c r="AP268" s="193" t="e">
        <f t="shared" ca="1" si="208"/>
        <v>#NAME?</v>
      </c>
      <c r="AQ268" s="200">
        <f>AQ270</f>
        <v>0</v>
      </c>
      <c r="AR268" s="204"/>
      <c r="AS268" s="204" t="e">
        <f t="shared" si="212"/>
        <v>#DIV/0!</v>
      </c>
      <c r="AT268" s="204"/>
      <c r="AU268" s="204"/>
      <c r="AV268" s="204"/>
    </row>
    <row r="269" spans="1:48" ht="12" customHeight="1">
      <c r="A269" s="53"/>
      <c r="B269" s="53"/>
      <c r="C269" s="53"/>
      <c r="D269" s="53"/>
      <c r="E269" s="53"/>
      <c r="F269" s="53"/>
      <c r="G269" s="53"/>
      <c r="H269" s="64"/>
      <c r="I269" s="117"/>
      <c r="J269" s="118"/>
      <c r="K269" s="18"/>
      <c r="L269" s="130"/>
      <c r="M269" s="130"/>
      <c r="N269" s="131"/>
      <c r="O269" s="131"/>
      <c r="P269" s="132"/>
      <c r="Q269" s="132"/>
      <c r="R269" s="159"/>
      <c r="S269" s="165"/>
      <c r="T269" s="165"/>
      <c r="U269" s="90" t="e">
        <f t="shared" ca="1" si="207"/>
        <v>#NAME?</v>
      </c>
      <c r="V269" s="200"/>
      <c r="W269" s="200"/>
      <c r="X269" s="159"/>
      <c r="Y269" s="183"/>
      <c r="Z269" s="183"/>
      <c r="AA269" s="183"/>
      <c r="AB269" s="183"/>
      <c r="AC269" s="178"/>
      <c r="AD269" s="178"/>
      <c r="AE269" s="178"/>
      <c r="AF269" s="178"/>
      <c r="AG269" s="178"/>
      <c r="AH269" s="178"/>
      <c r="AI269" s="183"/>
      <c r="AJ269" s="183"/>
      <c r="AK269" s="171"/>
      <c r="AL269" s="171"/>
      <c r="AM269" s="171"/>
      <c r="AN269" s="165"/>
      <c r="AO269" s="193"/>
      <c r="AP269" s="193" t="e">
        <f t="shared" ca="1" si="208"/>
        <v>#NAME?</v>
      </c>
      <c r="AQ269" s="200"/>
      <c r="AR269" s="204"/>
      <c r="AS269" s="204"/>
      <c r="AT269" s="204"/>
      <c r="AU269" s="204"/>
      <c r="AV269" s="204"/>
    </row>
    <row r="270" spans="1:48" ht="12" customHeight="1">
      <c r="A270" s="62"/>
      <c r="B270" s="62"/>
      <c r="C270" s="62"/>
      <c r="D270" s="62"/>
      <c r="E270" s="62"/>
      <c r="F270" s="62"/>
      <c r="G270" s="62"/>
      <c r="H270" s="63">
        <v>352</v>
      </c>
      <c r="I270" s="128"/>
      <c r="J270" s="129"/>
      <c r="K270" s="19" t="s">
        <v>273</v>
      </c>
      <c r="L270" s="112">
        <f t="shared" ref="L270:AD270" si="215">L271</f>
        <v>0</v>
      </c>
      <c r="M270" s="112">
        <f t="shared" si="215"/>
        <v>0</v>
      </c>
      <c r="N270" s="113">
        <f t="shared" si="215"/>
        <v>0</v>
      </c>
      <c r="O270" s="113">
        <f t="shared" si="215"/>
        <v>0</v>
      </c>
      <c r="P270" s="114">
        <f t="shared" si="215"/>
        <v>0</v>
      </c>
      <c r="Q270" s="114">
        <f t="shared" si="215"/>
        <v>0</v>
      </c>
      <c r="R270" s="88">
        <f t="shared" si="215"/>
        <v>0</v>
      </c>
      <c r="S270" s="90" t="e">
        <f t="shared" ca="1" si="215"/>
        <v>#NAME?</v>
      </c>
      <c r="T270" s="90"/>
      <c r="U270" s="90" t="e">
        <f t="shared" ca="1" si="207"/>
        <v>#NAME?</v>
      </c>
      <c r="V270" s="200">
        <f>V271</f>
        <v>0</v>
      </c>
      <c r="W270" s="200">
        <f t="shared" si="215"/>
        <v>0</v>
      </c>
      <c r="X270" s="88">
        <f t="shared" si="215"/>
        <v>7000</v>
      </c>
      <c r="Y270" s="171">
        <f t="shared" si="215"/>
        <v>7000</v>
      </c>
      <c r="Z270" s="171"/>
      <c r="AA270" s="171" t="e">
        <f t="shared" ca="1" si="215"/>
        <v>#NAME?</v>
      </c>
      <c r="AB270" s="171">
        <f t="shared" si="215"/>
        <v>0</v>
      </c>
      <c r="AC270" s="172">
        <f t="shared" si="215"/>
        <v>5000</v>
      </c>
      <c r="AD270" s="172">
        <f t="shared" si="215"/>
        <v>5000</v>
      </c>
      <c r="AE270" s="178"/>
      <c r="AF270" s="178"/>
      <c r="AG270" s="178"/>
      <c r="AH270" s="178"/>
      <c r="AI270" s="171"/>
      <c r="AJ270" s="171">
        <v>7000</v>
      </c>
      <c r="AK270" s="171"/>
      <c r="AL270" s="171"/>
      <c r="AM270" s="171">
        <f t="shared" si="135"/>
        <v>100</v>
      </c>
      <c r="AN270" s="90"/>
      <c r="AO270" s="193"/>
      <c r="AP270" s="193" t="e">
        <f t="shared" ca="1" si="208"/>
        <v>#NAME?</v>
      </c>
      <c r="AQ270" s="200">
        <f>AQ271</f>
        <v>0</v>
      </c>
      <c r="AR270" s="204"/>
      <c r="AS270" s="204" t="e">
        <f t="shared" si="212"/>
        <v>#DIV/0!</v>
      </c>
      <c r="AT270" s="204"/>
      <c r="AU270" s="204"/>
      <c r="AV270" s="204"/>
    </row>
    <row r="271" spans="1:48" ht="12" customHeight="1">
      <c r="A271" s="53"/>
      <c r="B271" s="53"/>
      <c r="C271" s="53"/>
      <c r="D271" s="53"/>
      <c r="E271" s="53"/>
      <c r="F271" s="53"/>
      <c r="G271" s="53"/>
      <c r="H271" s="64">
        <v>3523</v>
      </c>
      <c r="I271" s="117"/>
      <c r="J271" s="118"/>
      <c r="K271" s="18" t="s">
        <v>274</v>
      </c>
      <c r="L271" s="130">
        <f t="shared" ref="L271:S271" si="216">L529+L530+L531</f>
        <v>0</v>
      </c>
      <c r="M271" s="130">
        <f t="shared" si="216"/>
        <v>0</v>
      </c>
      <c r="N271" s="131">
        <f t="shared" si="216"/>
        <v>0</v>
      </c>
      <c r="O271" s="131">
        <f t="shared" si="216"/>
        <v>0</v>
      </c>
      <c r="P271" s="132">
        <f t="shared" si="216"/>
        <v>0</v>
      </c>
      <c r="Q271" s="132">
        <f t="shared" si="216"/>
        <v>0</v>
      </c>
      <c r="R271" s="159">
        <f t="shared" si="216"/>
        <v>0</v>
      </c>
      <c r="S271" s="165" t="e">
        <f t="shared" ca="1" si="216"/>
        <v>#NAME?</v>
      </c>
      <c r="T271" s="165"/>
      <c r="U271" s="90" t="e">
        <f t="shared" ca="1" si="207"/>
        <v>#NAME?</v>
      </c>
      <c r="V271" s="200">
        <f>V529+V530+V531</f>
        <v>0</v>
      </c>
      <c r="W271" s="200">
        <f>W529+W530+W531</f>
        <v>0</v>
      </c>
      <c r="X271" s="159">
        <f>X529+X530+X531</f>
        <v>7000</v>
      </c>
      <c r="Y271" s="183">
        <f>Y529+Y530+Y531</f>
        <v>7000</v>
      </c>
      <c r="Z271" s="183"/>
      <c r="AA271" s="183" t="e">
        <f ca="1">AA529+AA530+AA531</f>
        <v>#NAME?</v>
      </c>
      <c r="AB271" s="183">
        <f>AB529+AB530+AB531</f>
        <v>0</v>
      </c>
      <c r="AC271" s="178">
        <f>AC529+AC530+AC531</f>
        <v>5000</v>
      </c>
      <c r="AD271" s="178">
        <f>AD529+AD530+AD531</f>
        <v>5000</v>
      </c>
      <c r="AE271" s="178"/>
      <c r="AF271" s="178"/>
      <c r="AG271" s="178"/>
      <c r="AH271" s="178"/>
      <c r="AI271" s="183"/>
      <c r="AJ271" s="183">
        <v>7000</v>
      </c>
      <c r="AK271" s="171"/>
      <c r="AL271" s="171"/>
      <c r="AM271" s="171">
        <f t="shared" si="135"/>
        <v>100</v>
      </c>
      <c r="AN271" s="165"/>
      <c r="AO271" s="193"/>
      <c r="AP271" s="193" t="e">
        <f t="shared" ca="1" si="208"/>
        <v>#NAME?</v>
      </c>
      <c r="AQ271" s="200">
        <f>AQ529+AQ530+AQ531</f>
        <v>0</v>
      </c>
      <c r="AR271" s="204"/>
      <c r="AS271" s="204" t="e">
        <f t="shared" si="212"/>
        <v>#DIV/0!</v>
      </c>
      <c r="AT271" s="204"/>
      <c r="AU271" s="204"/>
      <c r="AV271" s="204"/>
    </row>
    <row r="272" spans="1:48" ht="12" customHeight="1">
      <c r="A272" s="53"/>
      <c r="B272" s="53"/>
      <c r="C272" s="53"/>
      <c r="D272" s="53"/>
      <c r="E272" s="53"/>
      <c r="F272" s="53"/>
      <c r="G272" s="53"/>
      <c r="H272" s="64"/>
      <c r="I272" s="117"/>
      <c r="J272" s="118"/>
      <c r="K272" s="18"/>
      <c r="L272" s="130"/>
      <c r="M272" s="130"/>
      <c r="N272" s="131"/>
      <c r="O272" s="131"/>
      <c r="P272" s="132"/>
      <c r="Q272" s="132"/>
      <c r="R272" s="159"/>
      <c r="S272" s="165"/>
      <c r="T272" s="165"/>
      <c r="U272" s="90" t="e">
        <f t="shared" ca="1" si="207"/>
        <v>#NAME?</v>
      </c>
      <c r="V272" s="200"/>
      <c r="W272" s="200"/>
      <c r="X272" s="159"/>
      <c r="Y272" s="183"/>
      <c r="Z272" s="183"/>
      <c r="AA272" s="183"/>
      <c r="AB272" s="183"/>
      <c r="AC272" s="178"/>
      <c r="AD272" s="178"/>
      <c r="AE272" s="178"/>
      <c r="AF272" s="178"/>
      <c r="AG272" s="178"/>
      <c r="AH272" s="178"/>
      <c r="AI272" s="183"/>
      <c r="AJ272" s="183"/>
      <c r="AK272" s="171"/>
      <c r="AL272" s="171"/>
      <c r="AM272" s="171"/>
      <c r="AN272" s="165"/>
      <c r="AO272" s="193"/>
      <c r="AP272" s="193" t="e">
        <f t="shared" ca="1" si="208"/>
        <v>#NAME?</v>
      </c>
      <c r="AQ272" s="200"/>
      <c r="AR272" s="204"/>
      <c r="AS272" s="204"/>
      <c r="AT272" s="204"/>
      <c r="AU272" s="204"/>
      <c r="AV272" s="204"/>
    </row>
    <row r="273" spans="1:48" ht="12" customHeight="1">
      <c r="A273" s="59"/>
      <c r="B273" s="59"/>
      <c r="C273" s="59"/>
      <c r="D273" s="59"/>
      <c r="E273" s="59"/>
      <c r="F273" s="59"/>
      <c r="G273" s="59"/>
      <c r="H273" s="60">
        <v>36</v>
      </c>
      <c r="I273" s="125"/>
      <c r="J273" s="126"/>
      <c r="K273" s="127" t="s">
        <v>275</v>
      </c>
      <c r="L273" s="112">
        <f t="shared" ref="L273:S273" si="217">L275+L278</f>
        <v>125225</v>
      </c>
      <c r="M273" s="112">
        <f t="shared" si="217"/>
        <v>16620.213683721548</v>
      </c>
      <c r="N273" s="113">
        <f t="shared" si="217"/>
        <v>123588</v>
      </c>
      <c r="O273" s="113">
        <f t="shared" si="217"/>
        <v>16402.946446346803</v>
      </c>
      <c r="P273" s="114">
        <f t="shared" si="217"/>
        <v>25899.508925608865</v>
      </c>
      <c r="Q273" s="114">
        <f t="shared" si="217"/>
        <v>34100</v>
      </c>
      <c r="R273" s="88">
        <f t="shared" si="217"/>
        <v>22250</v>
      </c>
      <c r="S273" s="90" t="e">
        <f t="shared" ca="1" si="217"/>
        <v>#NAME?</v>
      </c>
      <c r="T273" s="90"/>
      <c r="U273" s="90" t="e">
        <f t="shared" ca="1" si="207"/>
        <v>#NAME?</v>
      </c>
      <c r="V273" s="200">
        <f>V275+V278</f>
        <v>39500</v>
      </c>
      <c r="W273" s="200">
        <f>W275+W278</f>
        <v>39500</v>
      </c>
      <c r="X273" s="88">
        <f>X275+X278</f>
        <v>40000</v>
      </c>
      <c r="Y273" s="171">
        <f>Y275+Y278</f>
        <v>42000</v>
      </c>
      <c r="Z273" s="171"/>
      <c r="AA273" s="171" t="e">
        <f ca="1">AA275+AA278</f>
        <v>#NAME?</v>
      </c>
      <c r="AB273" s="171">
        <f>AB275+AB278</f>
        <v>0</v>
      </c>
      <c r="AC273" s="172">
        <f>AC275+AC278</f>
        <v>31500</v>
      </c>
      <c r="AD273" s="172">
        <f>AD275+AD278</f>
        <v>31500</v>
      </c>
      <c r="AE273" s="178">
        <f>O273/M273*100</f>
        <v>98.692753044519861</v>
      </c>
      <c r="AF273" s="178">
        <f>P273/O273*100</f>
        <v>157.89546719746255</v>
      </c>
      <c r="AG273" s="178">
        <f>Q273/P273*100</f>
        <v>131.66272803837865</v>
      </c>
      <c r="AH273" s="178">
        <f>AC273/Q273*100</f>
        <v>92.375366568914956</v>
      </c>
      <c r="AI273" s="171"/>
      <c r="AJ273" s="171">
        <v>42000</v>
      </c>
      <c r="AK273" s="171">
        <f t="shared" si="134"/>
        <v>177.52808988764045</v>
      </c>
      <c r="AL273" s="171">
        <f t="shared" si="135"/>
        <v>101.26582278481013</v>
      </c>
      <c r="AM273" s="171">
        <f t="shared" si="135"/>
        <v>105</v>
      </c>
      <c r="AN273" s="90"/>
      <c r="AO273" s="193"/>
      <c r="AP273" s="193" t="e">
        <f t="shared" ca="1" si="208"/>
        <v>#NAME?</v>
      </c>
      <c r="AQ273" s="200">
        <f>AQ275+AQ278</f>
        <v>34240.369999999995</v>
      </c>
      <c r="AR273" s="204">
        <f>V273/R273*100</f>
        <v>177.52808988764045</v>
      </c>
      <c r="AS273" s="204">
        <f t="shared" si="212"/>
        <v>100</v>
      </c>
      <c r="AT273" s="204">
        <f>W273/R273*100</f>
        <v>177.52808988764045</v>
      </c>
      <c r="AU273" s="204">
        <f>AQ273/W273*100</f>
        <v>86.684481012658225</v>
      </c>
      <c r="AV273" s="204">
        <f>AQ273/W273*100</f>
        <v>86.684481012658225</v>
      </c>
    </row>
    <row r="274" spans="1:48" ht="12" customHeight="1">
      <c r="A274" s="53"/>
      <c r="B274" s="53"/>
      <c r="C274" s="53"/>
      <c r="D274" s="53"/>
      <c r="E274" s="53"/>
      <c r="F274" s="53"/>
      <c r="G274" s="53"/>
      <c r="H274" s="64"/>
      <c r="I274" s="117"/>
      <c r="J274" s="118"/>
      <c r="K274" s="18"/>
      <c r="L274" s="130"/>
      <c r="M274" s="130"/>
      <c r="N274" s="131"/>
      <c r="O274" s="131"/>
      <c r="P274" s="132"/>
      <c r="Q274" s="132"/>
      <c r="R274" s="159"/>
      <c r="S274" s="165"/>
      <c r="T274" s="165"/>
      <c r="U274" s="90" t="e">
        <f t="shared" ca="1" si="207"/>
        <v>#NAME?</v>
      </c>
      <c r="V274" s="200"/>
      <c r="W274" s="200"/>
      <c r="X274" s="159"/>
      <c r="Y274" s="183"/>
      <c r="Z274" s="183"/>
      <c r="AA274" s="183"/>
      <c r="AB274" s="183"/>
      <c r="AC274" s="178"/>
      <c r="AD274" s="178"/>
      <c r="AE274" s="178"/>
      <c r="AF274" s="178"/>
      <c r="AG274" s="178"/>
      <c r="AH274" s="178"/>
      <c r="AI274" s="183"/>
      <c r="AJ274" s="183"/>
      <c r="AK274" s="171"/>
      <c r="AL274" s="171"/>
      <c r="AM274" s="171"/>
      <c r="AN274" s="165"/>
      <c r="AO274" s="193"/>
      <c r="AP274" s="193" t="e">
        <f t="shared" ca="1" si="208"/>
        <v>#NAME?</v>
      </c>
      <c r="AQ274" s="200"/>
      <c r="AR274" s="204"/>
      <c r="AS274" s="204"/>
      <c r="AT274" s="204"/>
      <c r="AU274" s="204"/>
      <c r="AV274" s="204"/>
    </row>
    <row r="275" spans="1:48" ht="12" customHeight="1">
      <c r="A275" s="62"/>
      <c r="B275" s="62"/>
      <c r="C275" s="62"/>
      <c r="D275" s="62"/>
      <c r="E275" s="62"/>
      <c r="F275" s="62"/>
      <c r="G275" s="62"/>
      <c r="H275" s="63">
        <v>363</v>
      </c>
      <c r="I275" s="128"/>
      <c r="J275" s="129"/>
      <c r="K275" s="19" t="s">
        <v>276</v>
      </c>
      <c r="L275" s="112">
        <f t="shared" ref="L275:AD275" si="218">L276</f>
        <v>0</v>
      </c>
      <c r="M275" s="112">
        <f t="shared" si="218"/>
        <v>0</v>
      </c>
      <c r="N275" s="113">
        <f t="shared" si="218"/>
        <v>0</v>
      </c>
      <c r="O275" s="113">
        <f t="shared" si="218"/>
        <v>0</v>
      </c>
      <c r="P275" s="114">
        <f t="shared" si="218"/>
        <v>0</v>
      </c>
      <c r="Q275" s="114">
        <f t="shared" si="218"/>
        <v>0</v>
      </c>
      <c r="R275" s="88">
        <f t="shared" si="218"/>
        <v>0</v>
      </c>
      <c r="S275" s="90">
        <f t="shared" si="218"/>
        <v>0</v>
      </c>
      <c r="T275" s="90"/>
      <c r="U275" s="90" t="e">
        <f t="shared" ca="1" si="207"/>
        <v>#NAME?</v>
      </c>
      <c r="V275" s="200">
        <f>V276</f>
        <v>0</v>
      </c>
      <c r="W275" s="200">
        <f t="shared" si="218"/>
        <v>0</v>
      </c>
      <c r="X275" s="88">
        <f t="shared" si="218"/>
        <v>0</v>
      </c>
      <c r="Y275" s="171">
        <f t="shared" si="218"/>
        <v>0</v>
      </c>
      <c r="Z275" s="171"/>
      <c r="AA275" s="171">
        <f t="shared" si="218"/>
        <v>0</v>
      </c>
      <c r="AB275" s="171">
        <f t="shared" si="218"/>
        <v>0</v>
      </c>
      <c r="AC275" s="172">
        <f t="shared" si="218"/>
        <v>0</v>
      </c>
      <c r="AD275" s="172">
        <f t="shared" si="218"/>
        <v>0</v>
      </c>
      <c r="AE275" s="178"/>
      <c r="AF275" s="178"/>
      <c r="AG275" s="178"/>
      <c r="AH275" s="178"/>
      <c r="AI275" s="171"/>
      <c r="AJ275" s="171">
        <v>0</v>
      </c>
      <c r="AK275" s="171"/>
      <c r="AL275" s="171"/>
      <c r="AM275" s="171"/>
      <c r="AN275" s="90"/>
      <c r="AO275" s="193"/>
      <c r="AP275" s="193" t="e">
        <f t="shared" ca="1" si="208"/>
        <v>#NAME?</v>
      </c>
      <c r="AQ275" s="200">
        <f>AQ276</f>
        <v>0</v>
      </c>
      <c r="AR275" s="204"/>
      <c r="AS275" s="204"/>
      <c r="AT275" s="204"/>
      <c r="AU275" s="204"/>
      <c r="AV275" s="204"/>
    </row>
    <row r="276" spans="1:48" ht="12" customHeight="1">
      <c r="A276" s="53"/>
      <c r="B276" s="53"/>
      <c r="C276" s="53"/>
      <c r="D276" s="53"/>
      <c r="E276" s="53"/>
      <c r="F276" s="53"/>
      <c r="G276" s="53"/>
      <c r="H276" s="64">
        <v>3631</v>
      </c>
      <c r="I276" s="117"/>
      <c r="J276" s="118"/>
      <c r="K276" s="18" t="s">
        <v>277</v>
      </c>
      <c r="L276" s="130"/>
      <c r="M276" s="130"/>
      <c r="N276" s="131"/>
      <c r="O276" s="131"/>
      <c r="P276" s="132"/>
      <c r="Q276" s="132"/>
      <c r="R276" s="159"/>
      <c r="S276" s="165"/>
      <c r="T276" s="165"/>
      <c r="U276" s="90" t="e">
        <f t="shared" ca="1" si="207"/>
        <v>#NAME?</v>
      </c>
      <c r="V276" s="200"/>
      <c r="W276" s="200"/>
      <c r="X276" s="159"/>
      <c r="Y276" s="183"/>
      <c r="Z276" s="183"/>
      <c r="AA276" s="183"/>
      <c r="AB276" s="183"/>
      <c r="AC276" s="178"/>
      <c r="AD276" s="178"/>
      <c r="AE276" s="178"/>
      <c r="AF276" s="178"/>
      <c r="AG276" s="178"/>
      <c r="AH276" s="178"/>
      <c r="AI276" s="183"/>
      <c r="AJ276" s="183"/>
      <c r="AK276" s="171"/>
      <c r="AL276" s="171"/>
      <c r="AM276" s="171"/>
      <c r="AN276" s="165"/>
      <c r="AO276" s="193"/>
      <c r="AP276" s="193" t="e">
        <f t="shared" ca="1" si="208"/>
        <v>#NAME?</v>
      </c>
      <c r="AQ276" s="200"/>
      <c r="AR276" s="204"/>
      <c r="AS276" s="204"/>
      <c r="AT276" s="204"/>
      <c r="AU276" s="204"/>
      <c r="AV276" s="204"/>
    </row>
    <row r="277" spans="1:48" ht="12" customHeight="1">
      <c r="A277" s="53"/>
      <c r="B277" s="53"/>
      <c r="C277" s="53"/>
      <c r="D277" s="53"/>
      <c r="E277" s="53"/>
      <c r="F277" s="53"/>
      <c r="G277" s="53"/>
      <c r="H277" s="274"/>
      <c r="I277" s="277"/>
      <c r="J277" s="278"/>
      <c r="K277" s="279"/>
      <c r="L277" s="130"/>
      <c r="M277" s="130"/>
      <c r="N277" s="131"/>
      <c r="O277" s="131"/>
      <c r="P277" s="132"/>
      <c r="Q277" s="132"/>
      <c r="R277" s="159"/>
      <c r="S277" s="165"/>
      <c r="T277" s="165"/>
      <c r="U277" s="90" t="e">
        <f t="shared" ca="1" si="207"/>
        <v>#NAME?</v>
      </c>
      <c r="V277" s="200"/>
      <c r="W277" s="200"/>
      <c r="X277" s="159"/>
      <c r="Y277" s="183"/>
      <c r="Z277" s="183"/>
      <c r="AA277" s="183"/>
      <c r="AB277" s="183"/>
      <c r="AC277" s="178"/>
      <c r="AD277" s="178"/>
      <c r="AE277" s="178"/>
      <c r="AF277" s="178"/>
      <c r="AG277" s="178"/>
      <c r="AH277" s="178"/>
      <c r="AI277" s="183"/>
      <c r="AJ277" s="183"/>
      <c r="AK277" s="171"/>
      <c r="AL277" s="171"/>
      <c r="AM277" s="171"/>
      <c r="AN277" s="165"/>
      <c r="AO277" s="193"/>
      <c r="AP277" s="193" t="e">
        <f t="shared" ca="1" si="208"/>
        <v>#NAME?</v>
      </c>
      <c r="AQ277" s="200"/>
      <c r="AR277" s="204"/>
      <c r="AS277" s="204"/>
      <c r="AT277" s="204"/>
      <c r="AU277" s="204"/>
      <c r="AV277" s="204"/>
    </row>
    <row r="278" spans="1:48" ht="12" customHeight="1">
      <c r="A278" s="62"/>
      <c r="B278" s="62"/>
      <c r="C278" s="62"/>
      <c r="D278" s="62"/>
      <c r="E278" s="62"/>
      <c r="F278" s="62"/>
      <c r="G278" s="62"/>
      <c r="H278" s="63">
        <v>366</v>
      </c>
      <c r="I278" s="128"/>
      <c r="J278" s="129"/>
      <c r="K278" s="19" t="s">
        <v>278</v>
      </c>
      <c r="L278" s="112">
        <f t="shared" ref="L278:S278" si="219">L279+L280</f>
        <v>125225</v>
      </c>
      <c r="M278" s="112">
        <f t="shared" si="219"/>
        <v>16620.213683721548</v>
      </c>
      <c r="N278" s="113">
        <f t="shared" si="219"/>
        <v>123588</v>
      </c>
      <c r="O278" s="113">
        <f t="shared" si="219"/>
        <v>16402.946446346803</v>
      </c>
      <c r="P278" s="114">
        <f t="shared" si="219"/>
        <v>25899.508925608865</v>
      </c>
      <c r="Q278" s="114">
        <f t="shared" si="219"/>
        <v>34100</v>
      </c>
      <c r="R278" s="88">
        <f t="shared" si="219"/>
        <v>22250</v>
      </c>
      <c r="S278" s="90" t="e">
        <f t="shared" ca="1" si="219"/>
        <v>#NAME?</v>
      </c>
      <c r="T278" s="90"/>
      <c r="U278" s="90" t="e">
        <f t="shared" ca="1" si="207"/>
        <v>#NAME?</v>
      </c>
      <c r="V278" s="200">
        <f>V279+V280</f>
        <v>39500</v>
      </c>
      <c r="W278" s="200">
        <f>W279+W280</f>
        <v>39500</v>
      </c>
      <c r="X278" s="88">
        <f>X279+X280</f>
        <v>40000</v>
      </c>
      <c r="Y278" s="171">
        <f>Y279+Y280</f>
        <v>42000</v>
      </c>
      <c r="Z278" s="171"/>
      <c r="AA278" s="171" t="e">
        <f ca="1">AA279+AA280</f>
        <v>#NAME?</v>
      </c>
      <c r="AB278" s="171">
        <f>AB279+AB280</f>
        <v>0</v>
      </c>
      <c r="AC278" s="172">
        <f>AC279+AC280</f>
        <v>31500</v>
      </c>
      <c r="AD278" s="172">
        <f>AD279+AD280</f>
        <v>31500</v>
      </c>
      <c r="AE278" s="178">
        <f>O278/M278*100</f>
        <v>98.692753044519861</v>
      </c>
      <c r="AF278" s="178">
        <f>P278/O278*100</f>
        <v>157.89546719746255</v>
      </c>
      <c r="AG278" s="178">
        <f>Q278/P278*100</f>
        <v>131.66272803837865</v>
      </c>
      <c r="AH278" s="178">
        <f>AC278/Q278*100</f>
        <v>92.375366568914956</v>
      </c>
      <c r="AI278" s="171"/>
      <c r="AJ278" s="171">
        <v>42000</v>
      </c>
      <c r="AK278" s="171">
        <f>W278/R278*100</f>
        <v>177.52808988764045</v>
      </c>
      <c r="AL278" s="171">
        <f t="shared" ref="AL278:AM335" si="220">X278/W278*100</f>
        <v>101.26582278481013</v>
      </c>
      <c r="AM278" s="171">
        <f t="shared" si="220"/>
        <v>105</v>
      </c>
      <c r="AN278" s="90"/>
      <c r="AO278" s="193"/>
      <c r="AP278" s="193" t="e">
        <f t="shared" ca="1" si="208"/>
        <v>#NAME?</v>
      </c>
      <c r="AQ278" s="200">
        <f>AQ279+AQ280</f>
        <v>34240.369999999995</v>
      </c>
      <c r="AR278" s="204">
        <f>V278/R278*100</f>
        <v>177.52808988764045</v>
      </c>
      <c r="AS278" s="204">
        <f t="shared" si="212"/>
        <v>100</v>
      </c>
      <c r="AT278" s="204">
        <f>W278/R278*100</f>
        <v>177.52808988764045</v>
      </c>
      <c r="AU278" s="204">
        <f>AQ278/W278*100</f>
        <v>86.684481012658225</v>
      </c>
      <c r="AV278" s="204">
        <f>AQ278/W278*100</f>
        <v>86.684481012658225</v>
      </c>
    </row>
    <row r="279" spans="1:48" ht="12" customHeight="1">
      <c r="A279" s="53"/>
      <c r="B279" s="53"/>
      <c r="C279" s="53"/>
      <c r="D279" s="53"/>
      <c r="E279" s="53"/>
      <c r="F279" s="53"/>
      <c r="G279" s="53"/>
      <c r="H279" s="64">
        <v>3661</v>
      </c>
      <c r="I279" s="117"/>
      <c r="J279" s="118"/>
      <c r="K279" s="18" t="s">
        <v>279</v>
      </c>
      <c r="L279" s="130">
        <f t="shared" ref="L279:S279" si="221">L842+L911</f>
        <v>125225</v>
      </c>
      <c r="M279" s="130">
        <f t="shared" si="221"/>
        <v>16620.213683721548</v>
      </c>
      <c r="N279" s="131">
        <f t="shared" si="221"/>
        <v>123588</v>
      </c>
      <c r="O279" s="131">
        <f t="shared" si="221"/>
        <v>16402.946446346803</v>
      </c>
      <c r="P279" s="132">
        <f t="shared" si="221"/>
        <v>25899.508925608865</v>
      </c>
      <c r="Q279" s="132">
        <f t="shared" si="221"/>
        <v>34100</v>
      </c>
      <c r="R279" s="159">
        <f t="shared" si="221"/>
        <v>22250</v>
      </c>
      <c r="S279" s="165" t="e">
        <f t="shared" ca="1" si="221"/>
        <v>#NAME?</v>
      </c>
      <c r="T279" s="165"/>
      <c r="U279" s="90" t="e">
        <f t="shared" ca="1" si="207"/>
        <v>#NAME?</v>
      </c>
      <c r="V279" s="200">
        <f>V842+V911</f>
        <v>39500</v>
      </c>
      <c r="W279" s="200">
        <f>W842+W911</f>
        <v>39500</v>
      </c>
      <c r="X279" s="159">
        <f t="shared" ref="X279:AD279" si="222">X842+X911</f>
        <v>40000</v>
      </c>
      <c r="Y279" s="183">
        <f t="shared" si="222"/>
        <v>42000</v>
      </c>
      <c r="Z279" s="183"/>
      <c r="AA279" s="183" t="e">
        <f t="shared" ca="1" si="222"/>
        <v>#NAME?</v>
      </c>
      <c r="AB279" s="183">
        <f t="shared" si="222"/>
        <v>0</v>
      </c>
      <c r="AC279" s="178">
        <f t="shared" si="222"/>
        <v>26500</v>
      </c>
      <c r="AD279" s="178">
        <f t="shared" si="222"/>
        <v>26500</v>
      </c>
      <c r="AE279" s="178">
        <f>O279/M279*100</f>
        <v>98.692753044519861</v>
      </c>
      <c r="AF279" s="178">
        <f>P279/O279*100</f>
        <v>157.89546719746255</v>
      </c>
      <c r="AG279" s="178">
        <f>Q279/P279*100</f>
        <v>131.66272803837865</v>
      </c>
      <c r="AH279" s="178">
        <f>AC279/Q279*100</f>
        <v>77.712609970674478</v>
      </c>
      <c r="AI279" s="183"/>
      <c r="AJ279" s="183">
        <v>42000</v>
      </c>
      <c r="AK279" s="171">
        <f>W279/R279*100</f>
        <v>177.52808988764045</v>
      </c>
      <c r="AL279" s="171">
        <f t="shared" si="220"/>
        <v>101.26582278481013</v>
      </c>
      <c r="AM279" s="171">
        <f t="shared" si="220"/>
        <v>105</v>
      </c>
      <c r="AN279" s="165"/>
      <c r="AO279" s="193"/>
      <c r="AP279" s="193" t="e">
        <f t="shared" ca="1" si="208"/>
        <v>#NAME?</v>
      </c>
      <c r="AQ279" s="200">
        <f>AQ842+AQ911</f>
        <v>34240.369999999995</v>
      </c>
      <c r="AR279" s="204">
        <f>V279/R279*100</f>
        <v>177.52808988764045</v>
      </c>
      <c r="AS279" s="204">
        <f t="shared" si="212"/>
        <v>100</v>
      </c>
      <c r="AT279" s="204">
        <f>W279/R279*100</f>
        <v>177.52808988764045</v>
      </c>
      <c r="AU279" s="204">
        <f>AQ279/W279*100</f>
        <v>86.684481012658225</v>
      </c>
      <c r="AV279" s="204">
        <f>AQ279/W279*100</f>
        <v>86.684481012658225</v>
      </c>
    </row>
    <row r="280" spans="1:48" ht="12" customHeight="1">
      <c r="A280" s="53"/>
      <c r="B280" s="53"/>
      <c r="C280" s="53"/>
      <c r="D280" s="53"/>
      <c r="E280" s="53"/>
      <c r="F280" s="53"/>
      <c r="G280" s="53"/>
      <c r="H280" s="64">
        <v>3662</v>
      </c>
      <c r="I280" s="117"/>
      <c r="J280" s="118"/>
      <c r="K280" s="18" t="s">
        <v>280</v>
      </c>
      <c r="L280" s="130">
        <f t="shared" ref="L280:S280" si="223">L927</f>
        <v>0</v>
      </c>
      <c r="M280" s="130">
        <f t="shared" si="223"/>
        <v>0</v>
      </c>
      <c r="N280" s="131">
        <f t="shared" si="223"/>
        <v>0</v>
      </c>
      <c r="O280" s="131">
        <f t="shared" si="223"/>
        <v>0</v>
      </c>
      <c r="P280" s="132">
        <f t="shared" si="223"/>
        <v>0</v>
      </c>
      <c r="Q280" s="132">
        <f t="shared" si="223"/>
        <v>0</v>
      </c>
      <c r="R280" s="159">
        <f t="shared" si="223"/>
        <v>0</v>
      </c>
      <c r="S280" s="165" t="e">
        <f t="shared" ca="1" si="223"/>
        <v>#NAME?</v>
      </c>
      <c r="T280" s="165"/>
      <c r="U280" s="90" t="e">
        <f t="shared" ca="1" si="207"/>
        <v>#NAME?</v>
      </c>
      <c r="V280" s="200">
        <f>V927</f>
        <v>0</v>
      </c>
      <c r="W280" s="200">
        <f>W927</f>
        <v>0</v>
      </c>
      <c r="X280" s="159">
        <f>X927</f>
        <v>0</v>
      </c>
      <c r="Y280" s="183">
        <f>Y927</f>
        <v>0</v>
      </c>
      <c r="Z280" s="183"/>
      <c r="AA280" s="183" t="e">
        <f ca="1">AA927</f>
        <v>#NAME?</v>
      </c>
      <c r="AB280" s="183">
        <f>AB927</f>
        <v>0</v>
      </c>
      <c r="AC280" s="178">
        <f>AC927</f>
        <v>5000</v>
      </c>
      <c r="AD280" s="178">
        <f>AD927</f>
        <v>5000</v>
      </c>
      <c r="AE280" s="178"/>
      <c r="AF280" s="178"/>
      <c r="AG280" s="178"/>
      <c r="AH280" s="178"/>
      <c r="AI280" s="183"/>
      <c r="AJ280" s="183">
        <v>0</v>
      </c>
      <c r="AK280" s="171"/>
      <c r="AL280" s="171"/>
      <c r="AM280" s="171"/>
      <c r="AN280" s="165"/>
      <c r="AO280" s="193"/>
      <c r="AP280" s="193" t="e">
        <f t="shared" ca="1" si="208"/>
        <v>#NAME?</v>
      </c>
      <c r="AQ280" s="200">
        <f>AQ927</f>
        <v>0</v>
      </c>
      <c r="AR280" s="204"/>
      <c r="AS280" s="204"/>
      <c r="AT280" s="204"/>
      <c r="AU280" s="204"/>
      <c r="AV280" s="204"/>
    </row>
    <row r="281" spans="1:48" ht="12" customHeight="1">
      <c r="A281" s="42"/>
      <c r="B281" s="42"/>
      <c r="C281" s="42"/>
      <c r="D281" s="42"/>
      <c r="E281" s="42"/>
      <c r="F281" s="42"/>
      <c r="G281" s="42"/>
      <c r="H281" s="38"/>
      <c r="I281" s="73"/>
      <c r="J281" s="75"/>
      <c r="K281" s="84"/>
      <c r="L281" s="85"/>
      <c r="M281" s="85"/>
      <c r="N281" s="86"/>
      <c r="O281" s="86"/>
      <c r="P281" s="87"/>
      <c r="Q281" s="87"/>
      <c r="R281" s="160"/>
      <c r="S281" s="161"/>
      <c r="T281" s="161"/>
      <c r="U281" s="90" t="e">
        <f t="shared" ca="1" si="207"/>
        <v>#NAME?</v>
      </c>
      <c r="V281" s="200"/>
      <c r="W281" s="200"/>
      <c r="X281" s="162"/>
      <c r="Y281" s="181"/>
      <c r="Z281" s="181"/>
      <c r="AA281" s="181"/>
      <c r="AB281" s="181"/>
      <c r="AC281" s="182"/>
      <c r="AD281" s="182"/>
      <c r="AE281" s="178"/>
      <c r="AF281" s="178"/>
      <c r="AG281" s="178"/>
      <c r="AH281" s="178"/>
      <c r="AI281" s="181"/>
      <c r="AJ281" s="181"/>
      <c r="AK281" s="171"/>
      <c r="AL281" s="171"/>
      <c r="AM281" s="171"/>
      <c r="AN281" s="161"/>
      <c r="AO281" s="193"/>
      <c r="AP281" s="193" t="e">
        <f t="shared" ca="1" si="208"/>
        <v>#NAME?</v>
      </c>
      <c r="AQ281" s="200"/>
      <c r="AR281" s="204"/>
      <c r="AS281" s="204"/>
      <c r="AT281" s="204"/>
      <c r="AU281" s="204"/>
      <c r="AV281" s="204"/>
    </row>
    <row r="282" spans="1:48" ht="12" customHeight="1">
      <c r="A282" s="59"/>
      <c r="B282" s="59"/>
      <c r="C282" s="59"/>
      <c r="D282" s="59"/>
      <c r="E282" s="59"/>
      <c r="F282" s="59"/>
      <c r="G282" s="59"/>
      <c r="H282" s="60">
        <v>37</v>
      </c>
      <c r="I282" s="125"/>
      <c r="J282" s="126"/>
      <c r="K282" s="280" t="s">
        <v>281</v>
      </c>
      <c r="L282" s="112">
        <f t="shared" ref="L282:S282" si="224">L285</f>
        <v>731840</v>
      </c>
      <c r="M282" s="112">
        <f t="shared" si="224"/>
        <v>97131.86011015992</v>
      </c>
      <c r="N282" s="113">
        <f t="shared" si="224"/>
        <v>988301</v>
      </c>
      <c r="O282" s="113">
        <f t="shared" si="224"/>
        <v>131170.08427898333</v>
      </c>
      <c r="P282" s="114">
        <f t="shared" si="224"/>
        <v>146700</v>
      </c>
      <c r="Q282" s="114">
        <f t="shared" si="224"/>
        <v>158000</v>
      </c>
      <c r="R282" s="88">
        <f t="shared" si="224"/>
        <v>153896</v>
      </c>
      <c r="S282" s="90" t="e">
        <f t="shared" ca="1" si="224"/>
        <v>#NAME?</v>
      </c>
      <c r="T282" s="90"/>
      <c r="U282" s="90" t="e">
        <f t="shared" ca="1" si="207"/>
        <v>#NAME?</v>
      </c>
      <c r="V282" s="200">
        <f>V285</f>
        <v>183500</v>
      </c>
      <c r="W282" s="200">
        <f>W285</f>
        <v>183500</v>
      </c>
      <c r="X282" s="88">
        <f>X285</f>
        <v>234000</v>
      </c>
      <c r="Y282" s="171">
        <f>Y285</f>
        <v>273000</v>
      </c>
      <c r="Z282" s="171"/>
      <c r="AA282" s="171" t="e">
        <f ca="1">AA285</f>
        <v>#NAME?</v>
      </c>
      <c r="AB282" s="171">
        <f>AB285</f>
        <v>0</v>
      </c>
      <c r="AC282" s="172">
        <f>AC285</f>
        <v>152000</v>
      </c>
      <c r="AD282" s="172">
        <f>AD285</f>
        <v>152000</v>
      </c>
      <c r="AE282" s="178">
        <f>O282/M282*100</f>
        <v>135.04331547879318</v>
      </c>
      <c r="AF282" s="178">
        <f>P282/O282*100</f>
        <v>111.83952561011272</v>
      </c>
      <c r="AG282" s="178">
        <f>Q282/P282*100</f>
        <v>107.70279481935923</v>
      </c>
      <c r="AH282" s="178">
        <f>AC282/Q282*100</f>
        <v>96.202531645569621</v>
      </c>
      <c r="AI282" s="171"/>
      <c r="AJ282" s="171">
        <v>273000</v>
      </c>
      <c r="AK282" s="171">
        <f>W282/R282*100</f>
        <v>119.23636741695691</v>
      </c>
      <c r="AL282" s="171">
        <f t="shared" si="220"/>
        <v>127.52043596730245</v>
      </c>
      <c r="AM282" s="171">
        <f t="shared" si="220"/>
        <v>116.66666666666667</v>
      </c>
      <c r="AN282" s="90"/>
      <c r="AO282" s="193"/>
      <c r="AP282" s="193" t="e">
        <f t="shared" ca="1" si="208"/>
        <v>#NAME?</v>
      </c>
      <c r="AQ282" s="200">
        <f>AQ285</f>
        <v>154738.14000000001</v>
      </c>
      <c r="AR282" s="204">
        <f>V282/R282*100</f>
        <v>119.23636741695691</v>
      </c>
      <c r="AS282" s="204">
        <f t="shared" si="212"/>
        <v>100</v>
      </c>
      <c r="AT282" s="204">
        <f>W282/R282*100</f>
        <v>119.23636741695691</v>
      </c>
      <c r="AU282" s="204">
        <f>AQ282/W282*100</f>
        <v>84.325961852861042</v>
      </c>
      <c r="AV282" s="204">
        <f>AQ282/W282*100</f>
        <v>84.325961852861042</v>
      </c>
    </row>
    <row r="283" spans="1:48" ht="12" customHeight="1">
      <c r="A283" s="42"/>
      <c r="B283" s="42"/>
      <c r="C283" s="42"/>
      <c r="D283" s="42"/>
      <c r="E283" s="42"/>
      <c r="F283" s="42"/>
      <c r="G283" s="42"/>
      <c r="H283" s="43"/>
      <c r="I283" s="94"/>
      <c r="J283" s="91"/>
      <c r="K283" s="231"/>
      <c r="L283" s="85"/>
      <c r="M283" s="85"/>
      <c r="N283" s="86"/>
      <c r="O283" s="86"/>
      <c r="P283" s="87"/>
      <c r="Q283" s="87"/>
      <c r="R283" s="160"/>
      <c r="S283" s="161"/>
      <c r="T283" s="161"/>
      <c r="U283" s="90" t="e">
        <f t="shared" ca="1" si="207"/>
        <v>#NAME?</v>
      </c>
      <c r="V283" s="200"/>
      <c r="W283" s="200"/>
      <c r="X283" s="162"/>
      <c r="Y283" s="181"/>
      <c r="Z283" s="181"/>
      <c r="AA283" s="181"/>
      <c r="AB283" s="181"/>
      <c r="AC283" s="182"/>
      <c r="AD283" s="182"/>
      <c r="AE283" s="178"/>
      <c r="AF283" s="178"/>
      <c r="AG283" s="178"/>
      <c r="AH283" s="178"/>
      <c r="AI283" s="181"/>
      <c r="AJ283" s="181"/>
      <c r="AK283" s="171"/>
      <c r="AL283" s="171"/>
      <c r="AM283" s="171"/>
      <c r="AN283" s="161"/>
      <c r="AO283" s="193"/>
      <c r="AP283" s="193" t="e">
        <f t="shared" ca="1" si="208"/>
        <v>#NAME?</v>
      </c>
      <c r="AQ283" s="200"/>
      <c r="AR283" s="204"/>
      <c r="AS283" s="204"/>
      <c r="AT283" s="204"/>
      <c r="AU283" s="204"/>
      <c r="AV283" s="204"/>
    </row>
    <row r="284" spans="1:48" ht="12" customHeight="1">
      <c r="A284" s="42"/>
      <c r="B284" s="42"/>
      <c r="C284" s="42"/>
      <c r="D284" s="42"/>
      <c r="E284" s="42"/>
      <c r="F284" s="42"/>
      <c r="G284" s="42"/>
      <c r="H284" s="38"/>
      <c r="I284" s="73"/>
      <c r="J284" s="91"/>
      <c r="K284" s="84"/>
      <c r="L284" s="85">
        <v>1</v>
      </c>
      <c r="M284" s="85">
        <v>2</v>
      </c>
      <c r="N284" s="86">
        <v>3</v>
      </c>
      <c r="O284" s="86">
        <v>4</v>
      </c>
      <c r="P284" s="87">
        <v>5</v>
      </c>
      <c r="Q284" s="87">
        <v>6</v>
      </c>
      <c r="R284" s="160"/>
      <c r="S284" s="161"/>
      <c r="T284" s="161"/>
      <c r="U284" s="90" t="e">
        <f t="shared" ca="1" si="207"/>
        <v>#NAME?</v>
      </c>
      <c r="V284" s="200"/>
      <c r="W284" s="200"/>
      <c r="X284" s="162"/>
      <c r="Y284" s="181"/>
      <c r="Z284" s="181"/>
      <c r="AA284" s="181"/>
      <c r="AB284" s="181"/>
      <c r="AC284" s="182">
        <v>7</v>
      </c>
      <c r="AD284" s="182">
        <v>8</v>
      </c>
      <c r="AE284" s="182">
        <v>9</v>
      </c>
      <c r="AF284" s="182">
        <v>10</v>
      </c>
      <c r="AG284" s="182">
        <v>11</v>
      </c>
      <c r="AH284" s="182">
        <v>12</v>
      </c>
      <c r="AI284" s="181"/>
      <c r="AJ284" s="181"/>
      <c r="AK284" s="171"/>
      <c r="AL284" s="171"/>
      <c r="AM284" s="171"/>
      <c r="AN284" s="161"/>
      <c r="AO284" s="193"/>
      <c r="AP284" s="193" t="e">
        <f t="shared" ca="1" si="208"/>
        <v>#NAME?</v>
      </c>
      <c r="AQ284" s="200"/>
      <c r="AR284" s="204"/>
      <c r="AS284" s="204"/>
      <c r="AT284" s="204"/>
      <c r="AU284" s="204"/>
      <c r="AV284" s="204"/>
    </row>
    <row r="285" spans="1:48" ht="12" customHeight="1">
      <c r="A285" s="62"/>
      <c r="B285" s="62"/>
      <c r="C285" s="62"/>
      <c r="D285" s="62"/>
      <c r="E285" s="62"/>
      <c r="F285" s="62"/>
      <c r="G285" s="62"/>
      <c r="H285" s="63">
        <v>372</v>
      </c>
      <c r="I285" s="128"/>
      <c r="J285" s="129"/>
      <c r="K285" s="140" t="s">
        <v>282</v>
      </c>
      <c r="L285" s="112">
        <f t="shared" ref="L285:S285" si="225">L286+L287</f>
        <v>731840</v>
      </c>
      <c r="M285" s="112">
        <f t="shared" si="225"/>
        <v>97131.86011015992</v>
      </c>
      <c r="N285" s="113">
        <f t="shared" si="225"/>
        <v>988301</v>
      </c>
      <c r="O285" s="113">
        <f t="shared" si="225"/>
        <v>131170.08427898333</v>
      </c>
      <c r="P285" s="114">
        <f t="shared" si="225"/>
        <v>146700</v>
      </c>
      <c r="Q285" s="114">
        <f t="shared" si="225"/>
        <v>158000</v>
      </c>
      <c r="R285" s="88">
        <f t="shared" si="225"/>
        <v>153896</v>
      </c>
      <c r="S285" s="90" t="e">
        <f t="shared" ca="1" si="225"/>
        <v>#NAME?</v>
      </c>
      <c r="T285" s="90"/>
      <c r="U285" s="90" t="e">
        <f t="shared" ca="1" si="207"/>
        <v>#NAME?</v>
      </c>
      <c r="V285" s="200">
        <f>V286+V287</f>
        <v>183500</v>
      </c>
      <c r="W285" s="200">
        <f>W286+W287</f>
        <v>183500</v>
      </c>
      <c r="X285" s="88">
        <f>X286+X287</f>
        <v>234000</v>
      </c>
      <c r="Y285" s="171">
        <f>Y286+Y287</f>
        <v>273000</v>
      </c>
      <c r="Z285" s="171"/>
      <c r="AA285" s="171" t="e">
        <f ca="1">AA286+AA287</f>
        <v>#NAME?</v>
      </c>
      <c r="AB285" s="171">
        <f>AB286+AB287</f>
        <v>0</v>
      </c>
      <c r="AC285" s="172">
        <f>AC286+AC287</f>
        <v>152000</v>
      </c>
      <c r="AD285" s="172">
        <f>AD286+AD287</f>
        <v>152000</v>
      </c>
      <c r="AE285" s="178">
        <f>O285/M285*100</f>
        <v>135.04331547879318</v>
      </c>
      <c r="AF285" s="178">
        <f t="shared" ref="AF285:AG287" si="226">P285/O285*100</f>
        <v>111.83952561011272</v>
      </c>
      <c r="AG285" s="178">
        <f t="shared" si="226"/>
        <v>107.70279481935923</v>
      </c>
      <c r="AH285" s="178">
        <f>AC285/Q285*100</f>
        <v>96.202531645569621</v>
      </c>
      <c r="AI285" s="171"/>
      <c r="AJ285" s="171">
        <v>273000</v>
      </c>
      <c r="AK285" s="171">
        <f>W285/R285*100</f>
        <v>119.23636741695691</v>
      </c>
      <c r="AL285" s="171">
        <f t="shared" si="220"/>
        <v>127.52043596730245</v>
      </c>
      <c r="AM285" s="171">
        <f t="shared" si="220"/>
        <v>116.66666666666667</v>
      </c>
      <c r="AN285" s="90"/>
      <c r="AO285" s="193"/>
      <c r="AP285" s="193" t="e">
        <f t="shared" ca="1" si="208"/>
        <v>#NAME?</v>
      </c>
      <c r="AQ285" s="200">
        <f>AQ286+AQ287</f>
        <v>154738.14000000001</v>
      </c>
      <c r="AR285" s="204">
        <f>V285/R285*100</f>
        <v>119.23636741695691</v>
      </c>
      <c r="AS285" s="204">
        <f t="shared" si="212"/>
        <v>100</v>
      </c>
      <c r="AT285" s="204">
        <f>W285/R285*100</f>
        <v>119.23636741695691</v>
      </c>
      <c r="AU285" s="204">
        <f>AQ285/W285*100</f>
        <v>84.325961852861042</v>
      </c>
      <c r="AV285" s="204">
        <f>AQ285/W285*100</f>
        <v>84.325961852861042</v>
      </c>
    </row>
    <row r="286" spans="1:48" ht="12" customHeight="1">
      <c r="A286" s="53"/>
      <c r="B286" s="53"/>
      <c r="C286" s="53"/>
      <c r="D286" s="53"/>
      <c r="E286" s="53"/>
      <c r="F286" s="53"/>
      <c r="G286" s="53"/>
      <c r="H286" s="64">
        <v>3721</v>
      </c>
      <c r="I286" s="117"/>
      <c r="J286" s="118"/>
      <c r="K286" s="133" t="s">
        <v>283</v>
      </c>
      <c r="L286" s="130">
        <f t="shared" ref="L286:S286" si="227">L937</f>
        <v>526750</v>
      </c>
      <c r="M286" s="130">
        <f t="shared" si="227"/>
        <v>69911.739332404264</v>
      </c>
      <c r="N286" s="131">
        <f t="shared" si="227"/>
        <v>592585</v>
      </c>
      <c r="O286" s="131">
        <f t="shared" si="227"/>
        <v>78649.545424381169</v>
      </c>
      <c r="P286" s="132">
        <f t="shared" si="227"/>
        <v>96700</v>
      </c>
      <c r="Q286" s="132">
        <f t="shared" si="227"/>
        <v>98000</v>
      </c>
      <c r="R286" s="159">
        <f t="shared" si="227"/>
        <v>100320</v>
      </c>
      <c r="S286" s="165" t="e">
        <f t="shared" ca="1" si="227"/>
        <v>#NAME?</v>
      </c>
      <c r="T286" s="165"/>
      <c r="U286" s="90" t="e">
        <f t="shared" ca="1" si="207"/>
        <v>#NAME?</v>
      </c>
      <c r="V286" s="200">
        <f>V937</f>
        <v>114500</v>
      </c>
      <c r="W286" s="200">
        <f>W937</f>
        <v>114500</v>
      </c>
      <c r="X286" s="159">
        <f>X937</f>
        <v>154000</v>
      </c>
      <c r="Y286" s="183">
        <f>Y937</f>
        <v>173000</v>
      </c>
      <c r="Z286" s="183"/>
      <c r="AA286" s="183" t="e">
        <f ca="1">AA937</f>
        <v>#NAME?</v>
      </c>
      <c r="AB286" s="183">
        <f>AB937</f>
        <v>0</v>
      </c>
      <c r="AC286" s="178">
        <f>AC937</f>
        <v>100000</v>
      </c>
      <c r="AD286" s="178">
        <f>AD937</f>
        <v>100000</v>
      </c>
      <c r="AE286" s="178">
        <f>O286/M286*100</f>
        <v>112.49833887043191</v>
      </c>
      <c r="AF286" s="178">
        <f t="shared" si="226"/>
        <v>122.95048811562901</v>
      </c>
      <c r="AG286" s="178">
        <f t="shared" si="226"/>
        <v>101.34436401240951</v>
      </c>
      <c r="AH286" s="178">
        <f>AC286/Q286*100</f>
        <v>102.04081632653062</v>
      </c>
      <c r="AI286" s="183"/>
      <c r="AJ286" s="183">
        <v>173000</v>
      </c>
      <c r="AK286" s="171">
        <f>W286/R286*100</f>
        <v>114.1347687400319</v>
      </c>
      <c r="AL286" s="171">
        <f t="shared" si="220"/>
        <v>134.49781659388645</v>
      </c>
      <c r="AM286" s="171">
        <f t="shared" si="220"/>
        <v>112.33766233766234</v>
      </c>
      <c r="AN286" s="165"/>
      <c r="AO286" s="193"/>
      <c r="AP286" s="193" t="e">
        <f t="shared" ca="1" si="208"/>
        <v>#NAME?</v>
      </c>
      <c r="AQ286" s="200">
        <f>AQ937</f>
        <v>113267.61</v>
      </c>
      <c r="AR286" s="204">
        <f>V286/R286*100</f>
        <v>114.1347687400319</v>
      </c>
      <c r="AS286" s="204">
        <f t="shared" si="212"/>
        <v>100</v>
      </c>
      <c r="AT286" s="204">
        <f>W286/R286*100</f>
        <v>114.1347687400319</v>
      </c>
      <c r="AU286" s="204">
        <f>AQ286/W286*100</f>
        <v>98.923676855895195</v>
      </c>
      <c r="AV286" s="204">
        <f>AQ286/W286*100</f>
        <v>98.923676855895195</v>
      </c>
    </row>
    <row r="287" spans="1:48" ht="12" customHeight="1">
      <c r="A287" s="53"/>
      <c r="B287" s="53"/>
      <c r="C287" s="53"/>
      <c r="D287" s="53"/>
      <c r="E287" s="53"/>
      <c r="F287" s="53"/>
      <c r="G287" s="53"/>
      <c r="H287" s="64">
        <v>3722</v>
      </c>
      <c r="I287" s="117"/>
      <c r="J287" s="118"/>
      <c r="K287" s="133" t="s">
        <v>284</v>
      </c>
      <c r="L287" s="130">
        <f t="shared" ref="L287:S287" si="228">L943</f>
        <v>205090</v>
      </c>
      <c r="M287" s="130">
        <f t="shared" si="228"/>
        <v>27220.120777755656</v>
      </c>
      <c r="N287" s="131">
        <f t="shared" si="228"/>
        <v>395716</v>
      </c>
      <c r="O287" s="131">
        <f t="shared" si="228"/>
        <v>52520.538854602157</v>
      </c>
      <c r="P287" s="132">
        <f t="shared" si="228"/>
        <v>50000</v>
      </c>
      <c r="Q287" s="132">
        <f t="shared" si="228"/>
        <v>60000</v>
      </c>
      <c r="R287" s="159">
        <f t="shared" si="228"/>
        <v>53576</v>
      </c>
      <c r="S287" s="165" t="e">
        <f t="shared" ca="1" si="228"/>
        <v>#NAME?</v>
      </c>
      <c r="T287" s="165"/>
      <c r="U287" s="90" t="e">
        <f t="shared" ca="1" si="207"/>
        <v>#NAME?</v>
      </c>
      <c r="V287" s="200">
        <f>V943</f>
        <v>69000</v>
      </c>
      <c r="W287" s="200">
        <f>W943</f>
        <v>69000</v>
      </c>
      <c r="X287" s="159">
        <f>X943</f>
        <v>80000</v>
      </c>
      <c r="Y287" s="183">
        <f>Y943</f>
        <v>100000</v>
      </c>
      <c r="Z287" s="183"/>
      <c r="AA287" s="183" t="e">
        <f ca="1">AA943</f>
        <v>#NAME?</v>
      </c>
      <c r="AB287" s="183">
        <f>AB943</f>
        <v>0</v>
      </c>
      <c r="AC287" s="178">
        <f>AC943</f>
        <v>52000</v>
      </c>
      <c r="AD287" s="178">
        <f>AD943</f>
        <v>52000</v>
      </c>
      <c r="AE287" s="178">
        <f>O287/M287*100</f>
        <v>192.94748646935491</v>
      </c>
      <c r="AF287" s="178">
        <f t="shared" si="226"/>
        <v>95.20085111544644</v>
      </c>
      <c r="AG287" s="178">
        <f t="shared" si="226"/>
        <v>120</v>
      </c>
      <c r="AH287" s="178">
        <f>AC287/Q287*100</f>
        <v>86.666666666666671</v>
      </c>
      <c r="AI287" s="183"/>
      <c r="AJ287" s="183">
        <v>100000</v>
      </c>
      <c r="AK287" s="171">
        <f>W287/R287*100</f>
        <v>128.78901000447962</v>
      </c>
      <c r="AL287" s="171">
        <f t="shared" si="220"/>
        <v>115.94202898550725</v>
      </c>
      <c r="AM287" s="171">
        <f t="shared" si="220"/>
        <v>125</v>
      </c>
      <c r="AN287" s="165"/>
      <c r="AO287" s="193"/>
      <c r="AP287" s="193" t="e">
        <f t="shared" ca="1" si="208"/>
        <v>#NAME?</v>
      </c>
      <c r="AQ287" s="200">
        <f>AQ943</f>
        <v>41470.53</v>
      </c>
      <c r="AR287" s="204">
        <f>V287/R287*100</f>
        <v>128.78901000447962</v>
      </c>
      <c r="AS287" s="204">
        <f t="shared" si="212"/>
        <v>100</v>
      </c>
      <c r="AT287" s="204">
        <f>W287/R287*100</f>
        <v>128.78901000447962</v>
      </c>
      <c r="AU287" s="204">
        <f>AQ287/W287*100</f>
        <v>60.10221739130435</v>
      </c>
      <c r="AV287" s="204">
        <f>AQ287/W287*100</f>
        <v>60.10221739130435</v>
      </c>
    </row>
    <row r="288" spans="1:48" ht="12" customHeight="1">
      <c r="A288" s="42"/>
      <c r="B288" s="42"/>
      <c r="C288" s="42"/>
      <c r="D288" s="42"/>
      <c r="E288" s="42"/>
      <c r="F288" s="42"/>
      <c r="G288" s="42"/>
      <c r="H288" s="43"/>
      <c r="I288" s="94"/>
      <c r="J288" s="91"/>
      <c r="K288" s="281"/>
      <c r="L288" s="85"/>
      <c r="M288" s="85"/>
      <c r="N288" s="86"/>
      <c r="O288" s="86"/>
      <c r="P288" s="87"/>
      <c r="Q288" s="87"/>
      <c r="R288" s="160"/>
      <c r="S288" s="161"/>
      <c r="T288" s="161"/>
      <c r="U288" s="90" t="e">
        <f t="shared" ca="1" si="207"/>
        <v>#NAME?</v>
      </c>
      <c r="V288" s="200"/>
      <c r="W288" s="200"/>
      <c r="X288" s="162"/>
      <c r="Y288" s="181"/>
      <c r="Z288" s="181"/>
      <c r="AA288" s="181"/>
      <c r="AB288" s="181"/>
      <c r="AC288" s="182"/>
      <c r="AD288" s="182"/>
      <c r="AE288" s="178"/>
      <c r="AF288" s="178"/>
      <c r="AG288" s="178"/>
      <c r="AH288" s="178"/>
      <c r="AI288" s="181"/>
      <c r="AJ288" s="181"/>
      <c r="AK288" s="171"/>
      <c r="AL288" s="171"/>
      <c r="AM288" s="171"/>
      <c r="AN288" s="161"/>
      <c r="AO288" s="193"/>
      <c r="AP288" s="193" t="e">
        <f t="shared" ca="1" si="208"/>
        <v>#NAME?</v>
      </c>
      <c r="AQ288" s="200"/>
      <c r="AR288" s="204"/>
      <c r="AS288" s="204"/>
      <c r="AT288" s="204"/>
      <c r="AU288" s="204"/>
      <c r="AV288" s="204"/>
    </row>
    <row r="289" spans="1:48" ht="12" customHeight="1">
      <c r="A289" s="59"/>
      <c r="B289" s="59"/>
      <c r="C289" s="59"/>
      <c r="D289" s="59"/>
      <c r="E289" s="59"/>
      <c r="F289" s="59"/>
      <c r="G289" s="59"/>
      <c r="H289" s="60">
        <v>38</v>
      </c>
      <c r="I289" s="125"/>
      <c r="J289" s="126"/>
      <c r="K289" s="127" t="s">
        <v>285</v>
      </c>
      <c r="L289" s="112">
        <f t="shared" ref="L289:S289" si="229">L291+L295+L299+L302+L305</f>
        <v>6822410</v>
      </c>
      <c r="M289" s="112">
        <f t="shared" si="229"/>
        <v>905489.41535602883</v>
      </c>
      <c r="N289" s="113">
        <f t="shared" si="229"/>
        <v>8618019</v>
      </c>
      <c r="O289" s="113">
        <f t="shared" si="229"/>
        <v>1143807.6846506069</v>
      </c>
      <c r="P289" s="114">
        <f t="shared" si="229"/>
        <v>1356560</v>
      </c>
      <c r="Q289" s="114">
        <f t="shared" si="229"/>
        <v>1484060</v>
      </c>
      <c r="R289" s="88">
        <f t="shared" si="229"/>
        <v>1292143</v>
      </c>
      <c r="S289" s="90" t="e">
        <f t="shared" ca="1" si="229"/>
        <v>#NAME?</v>
      </c>
      <c r="T289" s="90"/>
      <c r="U289" s="90" t="e">
        <f t="shared" ca="1" si="207"/>
        <v>#NAME?</v>
      </c>
      <c r="V289" s="200">
        <f>V291+V295+V299+V302+V305</f>
        <v>1498870</v>
      </c>
      <c r="W289" s="200">
        <f>W291+W295+W299+W302+W305</f>
        <v>1469926</v>
      </c>
      <c r="X289" s="88">
        <f>X291+X295+X299+X302+X305</f>
        <v>2309660</v>
      </c>
      <c r="Y289" s="171" t="e">
        <f ca="1">Y291+Y295+Y299+Y302+Y305</f>
        <v>#NAME?</v>
      </c>
      <c r="Z289" s="171"/>
      <c r="AA289" s="171" t="e">
        <f ca="1">AA291+AA295+AA299+AA302+AA305</f>
        <v>#NAME?</v>
      </c>
      <c r="AB289" s="171">
        <f>AB291+AB295+AB299+AB302+AB305</f>
        <v>0</v>
      </c>
      <c r="AC289" s="172">
        <f>AC291+AC295+AC299+AC302+AC305</f>
        <v>1335450</v>
      </c>
      <c r="AD289" s="172">
        <f>AD291+AD295+AD299+AD302+AD305</f>
        <v>1335450</v>
      </c>
      <c r="AE289" s="178">
        <f>O289/M289*100</f>
        <v>126.31927720556224</v>
      </c>
      <c r="AF289" s="178">
        <f>P289/O289*100</f>
        <v>118.60035722826791</v>
      </c>
      <c r="AG289" s="178">
        <f>Q289/P289*100</f>
        <v>109.39877336793064</v>
      </c>
      <c r="AH289" s="178">
        <f>AC289/Q289*100</f>
        <v>89.986253925043457</v>
      </c>
      <c r="AI289" s="171"/>
      <c r="AJ289" s="171">
        <v>2335248</v>
      </c>
      <c r="AK289" s="171">
        <f>W289/R289*100</f>
        <v>113.75877128150678</v>
      </c>
      <c r="AL289" s="171">
        <f t="shared" si="220"/>
        <v>157.12763771781709</v>
      </c>
      <c r="AM289" s="171" t="e">
        <f t="shared" ca="1" si="220"/>
        <v>#NAME?</v>
      </c>
      <c r="AN289" s="90"/>
      <c r="AO289" s="193"/>
      <c r="AP289" s="193" t="e">
        <f t="shared" ca="1" si="208"/>
        <v>#NAME?</v>
      </c>
      <c r="AQ289" s="200">
        <f>AQ291+AQ295+AQ299+AQ302+AQ305</f>
        <v>1283651.8799999999</v>
      </c>
      <c r="AR289" s="204">
        <f>V289/R289*100</f>
        <v>115.99877103385616</v>
      </c>
      <c r="AS289" s="204">
        <f t="shared" si="212"/>
        <v>98.068945272104997</v>
      </c>
      <c r="AT289" s="204">
        <f>W289/R289*100</f>
        <v>113.75877128150678</v>
      </c>
      <c r="AU289" s="204">
        <f>AQ289/W289*100</f>
        <v>87.327653228801978</v>
      </c>
      <c r="AV289" s="204">
        <f>AQ289/W289*100</f>
        <v>87.327653228801978</v>
      </c>
    </row>
    <row r="290" spans="1:48" ht="12" customHeight="1">
      <c r="A290" s="53"/>
      <c r="B290" s="53"/>
      <c r="C290" s="53"/>
      <c r="D290" s="53"/>
      <c r="E290" s="53"/>
      <c r="F290" s="53"/>
      <c r="G290" s="53"/>
      <c r="H290" s="64"/>
      <c r="I290" s="117"/>
      <c r="J290" s="118"/>
      <c r="K290" s="18"/>
      <c r="L290" s="119"/>
      <c r="M290" s="119"/>
      <c r="N290" s="120"/>
      <c r="O290" s="120"/>
      <c r="P290" s="121"/>
      <c r="Q290" s="121"/>
      <c r="R290" s="157"/>
      <c r="S290" s="158"/>
      <c r="T290" s="158"/>
      <c r="U290" s="90" t="e">
        <f t="shared" ca="1" si="207"/>
        <v>#NAME?</v>
      </c>
      <c r="V290" s="200"/>
      <c r="W290" s="200"/>
      <c r="X290" s="159"/>
      <c r="Y290" s="179"/>
      <c r="Z290" s="179"/>
      <c r="AA290" s="179"/>
      <c r="AB290" s="179"/>
      <c r="AC290" s="180"/>
      <c r="AD290" s="180"/>
      <c r="AE290" s="178"/>
      <c r="AF290" s="178"/>
      <c r="AG290" s="178"/>
      <c r="AH290" s="178"/>
      <c r="AI290" s="179"/>
      <c r="AJ290" s="179"/>
      <c r="AK290" s="171"/>
      <c r="AL290" s="171"/>
      <c r="AM290" s="171"/>
      <c r="AN290" s="158"/>
      <c r="AO290" s="193"/>
      <c r="AP290" s="193" t="e">
        <f t="shared" ca="1" si="208"/>
        <v>#NAME?</v>
      </c>
      <c r="AQ290" s="200"/>
      <c r="AR290" s="204"/>
      <c r="AS290" s="204"/>
      <c r="AT290" s="204"/>
      <c r="AU290" s="204"/>
      <c r="AV290" s="204"/>
    </row>
    <row r="291" spans="1:48" ht="12" customHeight="1">
      <c r="A291" s="62"/>
      <c r="B291" s="62"/>
      <c r="C291" s="62"/>
      <c r="D291" s="62"/>
      <c r="E291" s="62"/>
      <c r="F291" s="62"/>
      <c r="G291" s="62"/>
      <c r="H291" s="63">
        <v>381</v>
      </c>
      <c r="I291" s="128"/>
      <c r="J291" s="129"/>
      <c r="K291" s="19" t="s">
        <v>186</v>
      </c>
      <c r="L291" s="112">
        <f t="shared" ref="L291:S291" si="230">L292+L293</f>
        <v>1400130</v>
      </c>
      <c r="M291" s="112">
        <f t="shared" si="230"/>
        <v>185829.18574557037</v>
      </c>
      <c r="N291" s="113">
        <f t="shared" si="230"/>
        <v>1903480</v>
      </c>
      <c r="O291" s="113">
        <f t="shared" si="230"/>
        <v>252635.21136107238</v>
      </c>
      <c r="P291" s="114">
        <f t="shared" si="230"/>
        <v>273520</v>
      </c>
      <c r="Q291" s="114">
        <f t="shared" si="230"/>
        <v>338120</v>
      </c>
      <c r="R291" s="88">
        <f t="shared" si="230"/>
        <v>323342</v>
      </c>
      <c r="S291" s="90" t="e">
        <f t="shared" ca="1" si="230"/>
        <v>#NAME?</v>
      </c>
      <c r="T291" s="90"/>
      <c r="U291" s="90" t="e">
        <f t="shared" ca="1" si="207"/>
        <v>#NAME?</v>
      </c>
      <c r="V291" s="200">
        <f>V292+V293</f>
        <v>347980</v>
      </c>
      <c r="W291" s="200">
        <f>W292+W293</f>
        <v>356109</v>
      </c>
      <c r="X291" s="88">
        <f>X292+X293</f>
        <v>325000</v>
      </c>
      <c r="Y291" s="171" t="e">
        <f ca="1">Y292+Y293</f>
        <v>#NAME?</v>
      </c>
      <c r="Z291" s="171"/>
      <c r="AA291" s="171" t="e">
        <f ca="1">AA292+AA293</f>
        <v>#NAME?</v>
      </c>
      <c r="AB291" s="171">
        <f>AB292+AB293</f>
        <v>0</v>
      </c>
      <c r="AC291" s="172">
        <f>AC292+AC293</f>
        <v>277000</v>
      </c>
      <c r="AD291" s="172">
        <f>AD292+AD293</f>
        <v>277000</v>
      </c>
      <c r="AE291" s="178">
        <f>O291/M291*100</f>
        <v>135.95023319263211</v>
      </c>
      <c r="AF291" s="178">
        <f t="shared" ref="AF291:AG293" si="231">P291/O291*100</f>
        <v>108.26677664067918</v>
      </c>
      <c r="AG291" s="178">
        <f t="shared" si="231"/>
        <v>123.61801696402456</v>
      </c>
      <c r="AH291" s="178">
        <f>AC291/Q291*100</f>
        <v>81.92357742813202</v>
      </c>
      <c r="AI291" s="171"/>
      <c r="AJ291" s="171">
        <v>354500</v>
      </c>
      <c r="AK291" s="171">
        <f>W291/R291*100</f>
        <v>110.13385208231531</v>
      </c>
      <c r="AL291" s="171">
        <f t="shared" si="220"/>
        <v>91.264191581790968</v>
      </c>
      <c r="AM291" s="171" t="e">
        <f t="shared" ca="1" si="220"/>
        <v>#NAME?</v>
      </c>
      <c r="AN291" s="90"/>
      <c r="AO291" s="193"/>
      <c r="AP291" s="193" t="e">
        <f t="shared" ca="1" si="208"/>
        <v>#NAME?</v>
      </c>
      <c r="AQ291" s="200">
        <f>AQ292+AQ293</f>
        <v>346176.88</v>
      </c>
      <c r="AR291" s="204">
        <f>V291/R291*100</f>
        <v>107.61979575805185</v>
      </c>
      <c r="AS291" s="204">
        <f t="shared" si="212"/>
        <v>102.33605379619519</v>
      </c>
      <c r="AT291" s="204">
        <f>W291/R291*100</f>
        <v>110.13385208231531</v>
      </c>
      <c r="AU291" s="204">
        <f>AQ291/W291*100</f>
        <v>97.210932607712806</v>
      </c>
      <c r="AV291" s="204">
        <f>AQ291/W291*100</f>
        <v>97.210932607712806</v>
      </c>
    </row>
    <row r="292" spans="1:48" ht="12" customHeight="1">
      <c r="A292" s="53"/>
      <c r="B292" s="53"/>
      <c r="C292" s="53"/>
      <c r="D292" s="53"/>
      <c r="E292" s="53"/>
      <c r="F292" s="53"/>
      <c r="G292" s="53"/>
      <c r="H292" s="64">
        <v>3811</v>
      </c>
      <c r="I292" s="117"/>
      <c r="J292" s="118"/>
      <c r="K292" s="18" t="s">
        <v>286</v>
      </c>
      <c r="L292" s="130">
        <f t="shared" ref="L292:S292" si="232">L446+L510+L781+L801+L859+L879+L887+L895+L918+L952+L1051</f>
        <v>1372548</v>
      </c>
      <c r="M292" s="130">
        <f t="shared" si="232"/>
        <v>182168.42524387816</v>
      </c>
      <c r="N292" s="131">
        <f t="shared" si="232"/>
        <v>1880415</v>
      </c>
      <c r="O292" s="131">
        <f t="shared" si="232"/>
        <v>249573.95978498901</v>
      </c>
      <c r="P292" s="132">
        <f t="shared" si="232"/>
        <v>267620</v>
      </c>
      <c r="Q292" s="132">
        <f t="shared" si="232"/>
        <v>332120</v>
      </c>
      <c r="R292" s="159">
        <f t="shared" si="232"/>
        <v>319360</v>
      </c>
      <c r="S292" s="165" t="e">
        <f t="shared" ca="1" si="232"/>
        <v>#NAME?</v>
      </c>
      <c r="T292" s="165"/>
      <c r="U292" s="90" t="e">
        <f t="shared" ca="1" si="207"/>
        <v>#NAME?</v>
      </c>
      <c r="V292" s="200">
        <f>V446+V510+V781+V801+V859+V879+V887+V895+V918+V952+V1051</f>
        <v>339600</v>
      </c>
      <c r="W292" s="200">
        <f>W446+W510+W781+W801+W859+W879+W887+W895+W918+W952+W1051</f>
        <v>347729</v>
      </c>
      <c r="X292" s="159">
        <f t="shared" ref="X292:AD292" si="233">X446+X510+X781+X801+X859+X879+X887+X895+X918+X952+X1051</f>
        <v>315600</v>
      </c>
      <c r="Y292" s="183" t="e">
        <f t="shared" ca="1" si="233"/>
        <v>#NAME?</v>
      </c>
      <c r="Z292" s="183"/>
      <c r="AA292" s="183" t="e">
        <f t="shared" ca="1" si="233"/>
        <v>#NAME?</v>
      </c>
      <c r="AB292" s="183">
        <f t="shared" si="233"/>
        <v>0</v>
      </c>
      <c r="AC292" s="178">
        <f t="shared" si="233"/>
        <v>271000</v>
      </c>
      <c r="AD292" s="178">
        <f t="shared" si="233"/>
        <v>271000</v>
      </c>
      <c r="AE292" s="178">
        <f>O292/M292*100</f>
        <v>137.00176605845479</v>
      </c>
      <c r="AF292" s="178">
        <f t="shared" si="231"/>
        <v>107.23073842742161</v>
      </c>
      <c r="AG292" s="178">
        <f t="shared" si="231"/>
        <v>124.10133771765936</v>
      </c>
      <c r="AH292" s="178">
        <f>AC292/Q292*100</f>
        <v>81.597013127785132</v>
      </c>
      <c r="AI292" s="183"/>
      <c r="AJ292" s="183">
        <v>344000</v>
      </c>
      <c r="AK292" s="171">
        <f>W292/R292*100</f>
        <v>108.88307865731464</v>
      </c>
      <c r="AL292" s="171">
        <f t="shared" si="220"/>
        <v>90.76033347808206</v>
      </c>
      <c r="AM292" s="171" t="e">
        <f t="shared" ca="1" si="220"/>
        <v>#NAME?</v>
      </c>
      <c r="AN292" s="165"/>
      <c r="AO292" s="193"/>
      <c r="AP292" s="193" t="e">
        <f t="shared" ca="1" si="208"/>
        <v>#NAME?</v>
      </c>
      <c r="AQ292" s="200">
        <f>AQ446+AQ510+AQ781+AQ801+AQ859+AQ879+AQ887+AQ895+AQ918+AQ952+AQ1051</f>
        <v>324343.94</v>
      </c>
      <c r="AR292" s="204">
        <f>V292/R292*100</f>
        <v>106.3376753507014</v>
      </c>
      <c r="AS292" s="204">
        <f t="shared" si="212"/>
        <v>102.39369846878681</v>
      </c>
      <c r="AT292" s="204">
        <f>W292/R292*100</f>
        <v>108.88307865731464</v>
      </c>
      <c r="AU292" s="204">
        <f>AQ292/W292*100</f>
        <v>93.274918111517877</v>
      </c>
      <c r="AV292" s="204">
        <f>AQ292/W292*100</f>
        <v>93.274918111517877</v>
      </c>
    </row>
    <row r="293" spans="1:48" ht="12" customHeight="1">
      <c r="A293" s="53"/>
      <c r="B293" s="53"/>
      <c r="C293" s="53"/>
      <c r="D293" s="53"/>
      <c r="E293" s="53"/>
      <c r="F293" s="53"/>
      <c r="G293" s="53"/>
      <c r="H293" s="64">
        <v>3812</v>
      </c>
      <c r="I293" s="117"/>
      <c r="J293" s="118"/>
      <c r="K293" s="18" t="s">
        <v>287</v>
      </c>
      <c r="L293" s="130">
        <f t="shared" ref="L293:S293" si="234">L1052</f>
        <v>27582</v>
      </c>
      <c r="M293" s="130">
        <f t="shared" si="234"/>
        <v>3660.7605016922157</v>
      </c>
      <c r="N293" s="131">
        <f t="shared" si="234"/>
        <v>23065</v>
      </c>
      <c r="O293" s="131">
        <f t="shared" si="234"/>
        <v>3061.2515760833498</v>
      </c>
      <c r="P293" s="132">
        <f t="shared" si="234"/>
        <v>5900</v>
      </c>
      <c r="Q293" s="132">
        <f t="shared" si="234"/>
        <v>6000</v>
      </c>
      <c r="R293" s="159">
        <f t="shared" si="234"/>
        <v>3982</v>
      </c>
      <c r="S293" s="165">
        <f t="shared" si="234"/>
        <v>0</v>
      </c>
      <c r="T293" s="165"/>
      <c r="U293" s="90" t="e">
        <f t="shared" ca="1" si="207"/>
        <v>#NAME?</v>
      </c>
      <c r="V293" s="200">
        <f>V1052</f>
        <v>8380</v>
      </c>
      <c r="W293" s="200">
        <f>W1052</f>
        <v>8380</v>
      </c>
      <c r="X293" s="159">
        <f>X1052</f>
        <v>9400</v>
      </c>
      <c r="Y293" s="183">
        <f>Y1052</f>
        <v>10500</v>
      </c>
      <c r="Z293" s="183"/>
      <c r="AA293" s="183" t="e">
        <f ca="1">AA1052</f>
        <v>#NAME?</v>
      </c>
      <c r="AB293" s="183">
        <f>AB1052</f>
        <v>0</v>
      </c>
      <c r="AC293" s="178">
        <f>AC1052</f>
        <v>6000</v>
      </c>
      <c r="AD293" s="178">
        <f>AD1052</f>
        <v>6000</v>
      </c>
      <c r="AE293" s="178">
        <f>O293/M293*100</f>
        <v>83.62337756507867</v>
      </c>
      <c r="AF293" s="178">
        <f t="shared" si="231"/>
        <v>192.73162800780403</v>
      </c>
      <c r="AG293" s="178">
        <f t="shared" si="231"/>
        <v>101.69491525423729</v>
      </c>
      <c r="AH293" s="178">
        <f>AC293/Q293*100</f>
        <v>100</v>
      </c>
      <c r="AI293" s="183"/>
      <c r="AJ293" s="183">
        <v>10500</v>
      </c>
      <c r="AK293" s="171">
        <f>W293/R293*100</f>
        <v>210.44701155198391</v>
      </c>
      <c r="AL293" s="171">
        <f t="shared" si="220"/>
        <v>112.17183770883055</v>
      </c>
      <c r="AM293" s="171">
        <f t="shared" si="220"/>
        <v>111.70212765957446</v>
      </c>
      <c r="AN293" s="165"/>
      <c r="AO293" s="193"/>
      <c r="AP293" s="193" t="e">
        <f t="shared" ca="1" si="208"/>
        <v>#NAME?</v>
      </c>
      <c r="AQ293" s="200">
        <f>AQ1052</f>
        <v>21832.94</v>
      </c>
      <c r="AR293" s="204">
        <f>V293/R293*100</f>
        <v>210.44701155198391</v>
      </c>
      <c r="AS293" s="204">
        <f t="shared" si="212"/>
        <v>100</v>
      </c>
      <c r="AT293" s="204">
        <f>W293/R293*100</f>
        <v>210.44701155198391</v>
      </c>
      <c r="AU293" s="204">
        <f>AQ293/W293*100</f>
        <v>260.53627684964198</v>
      </c>
      <c r="AV293" s="204">
        <f>AQ293/W293*100</f>
        <v>260.53627684964198</v>
      </c>
    </row>
    <row r="294" spans="1:48" ht="12" customHeight="1">
      <c r="A294" s="53"/>
      <c r="B294" s="53"/>
      <c r="C294" s="53"/>
      <c r="D294" s="53"/>
      <c r="E294" s="53"/>
      <c r="F294" s="53"/>
      <c r="G294" s="53"/>
      <c r="H294" s="64"/>
      <c r="I294" s="117"/>
      <c r="J294" s="118"/>
      <c r="K294" s="18"/>
      <c r="L294" s="130"/>
      <c r="M294" s="130"/>
      <c r="N294" s="131"/>
      <c r="O294" s="131"/>
      <c r="P294" s="132"/>
      <c r="Q294" s="132"/>
      <c r="R294" s="159"/>
      <c r="S294" s="165"/>
      <c r="T294" s="165"/>
      <c r="U294" s="90" t="e">
        <f t="shared" ca="1" si="207"/>
        <v>#NAME?</v>
      </c>
      <c r="V294" s="200"/>
      <c r="W294" s="200"/>
      <c r="X294" s="159"/>
      <c r="Y294" s="183"/>
      <c r="Z294" s="183"/>
      <c r="AA294" s="183"/>
      <c r="AB294" s="183"/>
      <c r="AC294" s="178"/>
      <c r="AD294" s="178"/>
      <c r="AE294" s="178"/>
      <c r="AF294" s="178"/>
      <c r="AG294" s="178"/>
      <c r="AH294" s="178"/>
      <c r="AI294" s="183"/>
      <c r="AJ294" s="183"/>
      <c r="AK294" s="171"/>
      <c r="AL294" s="171"/>
      <c r="AM294" s="171"/>
      <c r="AN294" s="165"/>
      <c r="AO294" s="193"/>
      <c r="AP294" s="193" t="e">
        <f t="shared" ca="1" si="208"/>
        <v>#NAME?</v>
      </c>
      <c r="AQ294" s="200"/>
      <c r="AR294" s="204"/>
      <c r="AS294" s="204"/>
      <c r="AT294" s="204"/>
      <c r="AU294" s="204"/>
      <c r="AV294" s="204"/>
    </row>
    <row r="295" spans="1:48" ht="12" customHeight="1">
      <c r="A295" s="62"/>
      <c r="B295" s="62"/>
      <c r="C295" s="62"/>
      <c r="D295" s="62"/>
      <c r="E295" s="62"/>
      <c r="F295" s="62"/>
      <c r="G295" s="62"/>
      <c r="H295" s="63">
        <v>382</v>
      </c>
      <c r="I295" s="128"/>
      <c r="J295" s="129"/>
      <c r="K295" s="19" t="s">
        <v>187</v>
      </c>
      <c r="L295" s="112">
        <f t="shared" ref="L295:S295" si="235">L296+L297</f>
        <v>0</v>
      </c>
      <c r="M295" s="112">
        <f t="shared" si="235"/>
        <v>0</v>
      </c>
      <c r="N295" s="113">
        <f t="shared" si="235"/>
        <v>0</v>
      </c>
      <c r="O295" s="113">
        <f t="shared" si="235"/>
        <v>0</v>
      </c>
      <c r="P295" s="114">
        <f t="shared" si="235"/>
        <v>4000</v>
      </c>
      <c r="Q295" s="114">
        <f t="shared" si="235"/>
        <v>0</v>
      </c>
      <c r="R295" s="88">
        <f t="shared" si="235"/>
        <v>0</v>
      </c>
      <c r="S295" s="90" t="e">
        <f t="shared" ca="1" si="235"/>
        <v>#NAME?</v>
      </c>
      <c r="T295" s="90"/>
      <c r="U295" s="90" t="e">
        <f t="shared" ca="1" si="207"/>
        <v>#NAME?</v>
      </c>
      <c r="V295" s="200">
        <f>V296+V297</f>
        <v>0</v>
      </c>
      <c r="W295" s="200">
        <f>W296+W297</f>
        <v>0</v>
      </c>
      <c r="X295" s="88">
        <f>X296+X297</f>
        <v>4000</v>
      </c>
      <c r="Y295" s="171">
        <f>Y296+Y297</f>
        <v>4000</v>
      </c>
      <c r="Z295" s="171"/>
      <c r="AA295" s="171" t="e">
        <f ca="1">AA296+AA297</f>
        <v>#NAME?</v>
      </c>
      <c r="AB295" s="171">
        <f>AB296+AB297</f>
        <v>0</v>
      </c>
      <c r="AC295" s="172">
        <f>AC296+AC297</f>
        <v>5000</v>
      </c>
      <c r="AD295" s="172">
        <f>AD296+AD297</f>
        <v>5000</v>
      </c>
      <c r="AE295" s="178"/>
      <c r="AF295" s="178"/>
      <c r="AG295" s="178"/>
      <c r="AH295" s="178"/>
      <c r="AI295" s="171"/>
      <c r="AJ295" s="171">
        <v>4000</v>
      </c>
      <c r="AK295" s="171"/>
      <c r="AL295" s="171"/>
      <c r="AM295" s="171">
        <f t="shared" si="220"/>
        <v>100</v>
      </c>
      <c r="AN295" s="90"/>
      <c r="AO295" s="193"/>
      <c r="AP295" s="193" t="e">
        <f t="shared" ca="1" si="208"/>
        <v>#NAME?</v>
      </c>
      <c r="AQ295" s="200">
        <f>AQ296+AQ297</f>
        <v>0</v>
      </c>
      <c r="AR295" s="204"/>
      <c r="AS295" s="204" t="e">
        <f t="shared" si="212"/>
        <v>#DIV/0!</v>
      </c>
      <c r="AT295" s="204"/>
      <c r="AU295" s="204"/>
      <c r="AV295" s="204"/>
    </row>
    <row r="296" spans="1:48" ht="12" customHeight="1">
      <c r="A296" s="53"/>
      <c r="B296" s="53"/>
      <c r="C296" s="53"/>
      <c r="D296" s="53"/>
      <c r="E296" s="53"/>
      <c r="F296" s="53"/>
      <c r="G296" s="53"/>
      <c r="H296" s="64">
        <v>3821</v>
      </c>
      <c r="I296" s="117"/>
      <c r="J296" s="118"/>
      <c r="K296" s="18" t="s">
        <v>288</v>
      </c>
      <c r="L296" s="130">
        <f t="shared" ref="L296:S296" si="236">L611</f>
        <v>0</v>
      </c>
      <c r="M296" s="130">
        <f t="shared" si="236"/>
        <v>0</v>
      </c>
      <c r="N296" s="131">
        <f t="shared" si="236"/>
        <v>0</v>
      </c>
      <c r="O296" s="131">
        <f t="shared" si="236"/>
        <v>0</v>
      </c>
      <c r="P296" s="132">
        <f t="shared" si="236"/>
        <v>4000</v>
      </c>
      <c r="Q296" s="132">
        <f t="shared" si="236"/>
        <v>0</v>
      </c>
      <c r="R296" s="159">
        <f t="shared" si="236"/>
        <v>0</v>
      </c>
      <c r="S296" s="165" t="e">
        <f t="shared" ca="1" si="236"/>
        <v>#NAME?</v>
      </c>
      <c r="T296" s="165"/>
      <c r="U296" s="90" t="e">
        <f t="shared" ca="1" si="207"/>
        <v>#NAME?</v>
      </c>
      <c r="V296" s="200">
        <f>V611</f>
        <v>0</v>
      </c>
      <c r="W296" s="200">
        <f>W611</f>
        <v>0</v>
      </c>
      <c r="X296" s="159">
        <f>X611</f>
        <v>4000</v>
      </c>
      <c r="Y296" s="183">
        <f>Y611</f>
        <v>4000</v>
      </c>
      <c r="Z296" s="183"/>
      <c r="AA296" s="183" t="e">
        <f ca="1">AA611</f>
        <v>#NAME?</v>
      </c>
      <c r="AB296" s="183">
        <f>AB611</f>
        <v>0</v>
      </c>
      <c r="AC296" s="178">
        <f>AC611</f>
        <v>5000</v>
      </c>
      <c r="AD296" s="178">
        <f>AD611</f>
        <v>5000</v>
      </c>
      <c r="AE296" s="178"/>
      <c r="AF296" s="178"/>
      <c r="AG296" s="178"/>
      <c r="AH296" s="178"/>
      <c r="AI296" s="183"/>
      <c r="AJ296" s="183">
        <v>4000</v>
      </c>
      <c r="AK296" s="171"/>
      <c r="AL296" s="171"/>
      <c r="AM296" s="171">
        <f t="shared" si="220"/>
        <v>100</v>
      </c>
      <c r="AN296" s="165"/>
      <c r="AO296" s="193"/>
      <c r="AP296" s="193" t="e">
        <f t="shared" ca="1" si="208"/>
        <v>#NAME?</v>
      </c>
      <c r="AQ296" s="200">
        <f>AQ611</f>
        <v>0</v>
      </c>
      <c r="AR296" s="204"/>
      <c r="AS296" s="204" t="e">
        <f t="shared" si="212"/>
        <v>#DIV/0!</v>
      </c>
      <c r="AT296" s="204"/>
      <c r="AU296" s="204"/>
      <c r="AV296" s="204"/>
    </row>
    <row r="297" spans="1:48" ht="12" customHeight="1">
      <c r="A297" s="53"/>
      <c r="B297" s="53"/>
      <c r="C297" s="53"/>
      <c r="D297" s="53"/>
      <c r="E297" s="53"/>
      <c r="F297" s="53"/>
      <c r="G297" s="53"/>
      <c r="H297" s="64">
        <v>3822</v>
      </c>
      <c r="I297" s="117"/>
      <c r="J297" s="118"/>
      <c r="K297" s="18" t="s">
        <v>289</v>
      </c>
      <c r="L297" s="130">
        <f t="shared" ref="L297:S297" si="237">L697</f>
        <v>0</v>
      </c>
      <c r="M297" s="130">
        <f t="shared" si="237"/>
        <v>0</v>
      </c>
      <c r="N297" s="131">
        <f t="shared" si="237"/>
        <v>0</v>
      </c>
      <c r="O297" s="131">
        <f t="shared" si="237"/>
        <v>0</v>
      </c>
      <c r="P297" s="132">
        <f t="shared" si="237"/>
        <v>0</v>
      </c>
      <c r="Q297" s="132">
        <f t="shared" si="237"/>
        <v>0</v>
      </c>
      <c r="R297" s="159">
        <f t="shared" si="237"/>
        <v>0</v>
      </c>
      <c r="S297" s="165" t="e">
        <f t="shared" ca="1" si="237"/>
        <v>#NAME?</v>
      </c>
      <c r="T297" s="165"/>
      <c r="U297" s="90" t="e">
        <f t="shared" ca="1" si="207"/>
        <v>#NAME?</v>
      </c>
      <c r="V297" s="200">
        <f>V697</f>
        <v>0</v>
      </c>
      <c r="W297" s="200">
        <f>W697</f>
        <v>0</v>
      </c>
      <c r="X297" s="159">
        <f>X697</f>
        <v>0</v>
      </c>
      <c r="Y297" s="183">
        <f>Y697</f>
        <v>0</v>
      </c>
      <c r="Z297" s="183"/>
      <c r="AA297" s="183" t="e">
        <f ca="1">AA697</f>
        <v>#NAME?</v>
      </c>
      <c r="AB297" s="183">
        <f>AB697</f>
        <v>0</v>
      </c>
      <c r="AC297" s="178">
        <f>AC697</f>
        <v>0</v>
      </c>
      <c r="AD297" s="178">
        <f>AD697</f>
        <v>0</v>
      </c>
      <c r="AE297" s="178"/>
      <c r="AF297" s="178"/>
      <c r="AG297" s="178"/>
      <c r="AH297" s="178"/>
      <c r="AI297" s="183"/>
      <c r="AJ297" s="183">
        <v>0</v>
      </c>
      <c r="AK297" s="171"/>
      <c r="AL297" s="171"/>
      <c r="AM297" s="171"/>
      <c r="AN297" s="165"/>
      <c r="AO297" s="193"/>
      <c r="AP297" s="193" t="e">
        <f t="shared" ca="1" si="208"/>
        <v>#NAME?</v>
      </c>
      <c r="AQ297" s="200">
        <f>AQ697</f>
        <v>0</v>
      </c>
      <c r="AR297" s="204"/>
      <c r="AS297" s="204"/>
      <c r="AT297" s="204"/>
      <c r="AU297" s="204"/>
      <c r="AV297" s="204"/>
    </row>
    <row r="298" spans="1:48" ht="12" customHeight="1">
      <c r="A298" s="53"/>
      <c r="B298" s="53"/>
      <c r="C298" s="53"/>
      <c r="D298" s="53"/>
      <c r="E298" s="53"/>
      <c r="F298" s="53"/>
      <c r="G298" s="53"/>
      <c r="H298" s="64"/>
      <c r="I298" s="117"/>
      <c r="J298" s="118"/>
      <c r="K298" s="18"/>
      <c r="L298" s="130"/>
      <c r="M298" s="130"/>
      <c r="N298" s="131"/>
      <c r="O298" s="131"/>
      <c r="P298" s="132"/>
      <c r="Q298" s="132"/>
      <c r="R298" s="159"/>
      <c r="S298" s="165"/>
      <c r="T298" s="165"/>
      <c r="U298" s="90" t="e">
        <f t="shared" ca="1" si="207"/>
        <v>#NAME?</v>
      </c>
      <c r="V298" s="200"/>
      <c r="W298" s="200"/>
      <c r="X298" s="159"/>
      <c r="Y298" s="183"/>
      <c r="Z298" s="183"/>
      <c r="AA298" s="183"/>
      <c r="AB298" s="183"/>
      <c r="AC298" s="178"/>
      <c r="AD298" s="178"/>
      <c r="AE298" s="178"/>
      <c r="AF298" s="178"/>
      <c r="AG298" s="178"/>
      <c r="AH298" s="178"/>
      <c r="AI298" s="183"/>
      <c r="AJ298" s="183"/>
      <c r="AK298" s="171"/>
      <c r="AL298" s="171"/>
      <c r="AM298" s="171"/>
      <c r="AN298" s="165"/>
      <c r="AO298" s="193"/>
      <c r="AP298" s="193" t="e">
        <f t="shared" ca="1" si="208"/>
        <v>#NAME?</v>
      </c>
      <c r="AQ298" s="200"/>
      <c r="AR298" s="204"/>
      <c r="AS298" s="204"/>
      <c r="AT298" s="204"/>
      <c r="AU298" s="204"/>
      <c r="AV298" s="204"/>
    </row>
    <row r="299" spans="1:48" ht="12" customHeight="1">
      <c r="A299" s="62"/>
      <c r="B299" s="62"/>
      <c r="C299" s="62"/>
      <c r="D299" s="62"/>
      <c r="E299" s="62"/>
      <c r="F299" s="62"/>
      <c r="G299" s="62"/>
      <c r="H299" s="63">
        <v>383</v>
      </c>
      <c r="I299" s="128"/>
      <c r="J299" s="129"/>
      <c r="K299" s="19" t="s">
        <v>290</v>
      </c>
      <c r="L299" s="112">
        <f t="shared" ref="L299:AD299" si="238">L300</f>
        <v>87280</v>
      </c>
      <c r="M299" s="112">
        <f t="shared" si="238"/>
        <v>11584.046718428561</v>
      </c>
      <c r="N299" s="113">
        <f t="shared" si="238"/>
        <v>7673</v>
      </c>
      <c r="O299" s="113">
        <f t="shared" si="238"/>
        <v>1018.3821089654257</v>
      </c>
      <c r="P299" s="114">
        <f t="shared" si="238"/>
        <v>4000</v>
      </c>
      <c r="Q299" s="114">
        <f t="shared" si="238"/>
        <v>12600</v>
      </c>
      <c r="R299" s="88">
        <f t="shared" si="238"/>
        <v>0</v>
      </c>
      <c r="S299" s="90" t="e">
        <f t="shared" ca="1" si="238"/>
        <v>#NAME?</v>
      </c>
      <c r="T299" s="90"/>
      <c r="U299" s="90" t="e">
        <f t="shared" ca="1" si="207"/>
        <v>#NAME?</v>
      </c>
      <c r="V299" s="200">
        <f>V300</f>
        <v>5000</v>
      </c>
      <c r="W299" s="200">
        <f t="shared" si="238"/>
        <v>5000</v>
      </c>
      <c r="X299" s="88">
        <f t="shared" si="238"/>
        <v>5000</v>
      </c>
      <c r="Y299" s="171">
        <f t="shared" si="238"/>
        <v>5000</v>
      </c>
      <c r="Z299" s="171"/>
      <c r="AA299" s="171" t="e">
        <f t="shared" ca="1" si="238"/>
        <v>#NAME?</v>
      </c>
      <c r="AB299" s="171">
        <f t="shared" si="238"/>
        <v>0</v>
      </c>
      <c r="AC299" s="172">
        <f t="shared" si="238"/>
        <v>4000</v>
      </c>
      <c r="AD299" s="172">
        <f t="shared" si="238"/>
        <v>4000</v>
      </c>
      <c r="AE299" s="178">
        <f>O299/M299*100</f>
        <v>8.7912465627864353</v>
      </c>
      <c r="AF299" s="178"/>
      <c r="AG299" s="178"/>
      <c r="AH299" s="178"/>
      <c r="AI299" s="171"/>
      <c r="AJ299" s="171">
        <v>5000</v>
      </c>
      <c r="AK299" s="171"/>
      <c r="AL299" s="171">
        <f t="shared" si="220"/>
        <v>100</v>
      </c>
      <c r="AM299" s="171">
        <f t="shared" si="220"/>
        <v>100</v>
      </c>
      <c r="AN299" s="90"/>
      <c r="AO299" s="193"/>
      <c r="AP299" s="193" t="e">
        <f t="shared" ca="1" si="208"/>
        <v>#NAME?</v>
      </c>
      <c r="AQ299" s="200">
        <f>AQ300</f>
        <v>1500</v>
      </c>
      <c r="AR299" s="204"/>
      <c r="AS299" s="204">
        <f>W299/V299*100</f>
        <v>100</v>
      </c>
      <c r="AT299" s="204"/>
      <c r="AU299" s="204">
        <f>AQ299/W299*100</f>
        <v>30</v>
      </c>
      <c r="AV299" s="204">
        <f>AQ299/W299*100</f>
        <v>30</v>
      </c>
    </row>
    <row r="300" spans="1:48" ht="12" customHeight="1">
      <c r="A300" s="53"/>
      <c r="B300" s="53"/>
      <c r="C300" s="53"/>
      <c r="D300" s="53"/>
      <c r="E300" s="53"/>
      <c r="F300" s="53"/>
      <c r="G300" s="53"/>
      <c r="H300" s="64">
        <v>3831</v>
      </c>
      <c r="I300" s="117"/>
      <c r="J300" s="118"/>
      <c r="K300" s="18" t="s">
        <v>291</v>
      </c>
      <c r="L300" s="130">
        <f t="shared" ref="L300:S300" si="239">L449</f>
        <v>87280</v>
      </c>
      <c r="M300" s="130">
        <f t="shared" si="239"/>
        <v>11584.046718428561</v>
      </c>
      <c r="N300" s="131">
        <f t="shared" si="239"/>
        <v>7673</v>
      </c>
      <c r="O300" s="131">
        <f t="shared" si="239"/>
        <v>1018.3821089654257</v>
      </c>
      <c r="P300" s="132">
        <f t="shared" si="239"/>
        <v>4000</v>
      </c>
      <c r="Q300" s="132">
        <f t="shared" si="239"/>
        <v>12600</v>
      </c>
      <c r="R300" s="159">
        <f t="shared" si="239"/>
        <v>0</v>
      </c>
      <c r="S300" s="165" t="e">
        <f t="shared" ca="1" si="239"/>
        <v>#NAME?</v>
      </c>
      <c r="T300" s="165"/>
      <c r="U300" s="90" t="e">
        <f t="shared" ca="1" si="207"/>
        <v>#NAME?</v>
      </c>
      <c r="V300" s="200">
        <f>V449</f>
        <v>5000</v>
      </c>
      <c r="W300" s="200">
        <f>W449</f>
        <v>5000</v>
      </c>
      <c r="X300" s="159">
        <f>X449</f>
        <v>5000</v>
      </c>
      <c r="Y300" s="183">
        <f>Y449</f>
        <v>5000</v>
      </c>
      <c r="Z300" s="183"/>
      <c r="AA300" s="183" t="e">
        <f ca="1">AA449</f>
        <v>#NAME?</v>
      </c>
      <c r="AB300" s="183">
        <f>AB449</f>
        <v>0</v>
      </c>
      <c r="AC300" s="178">
        <f>AC449</f>
        <v>4000</v>
      </c>
      <c r="AD300" s="178">
        <f>AD449</f>
        <v>4000</v>
      </c>
      <c r="AE300" s="178">
        <f>O300/M300*100</f>
        <v>8.7912465627864353</v>
      </c>
      <c r="AF300" s="178"/>
      <c r="AG300" s="178"/>
      <c r="AH300" s="178"/>
      <c r="AI300" s="183"/>
      <c r="AJ300" s="183">
        <v>5000</v>
      </c>
      <c r="AK300" s="171"/>
      <c r="AL300" s="171">
        <f t="shared" si="220"/>
        <v>100</v>
      </c>
      <c r="AM300" s="171">
        <f t="shared" si="220"/>
        <v>100</v>
      </c>
      <c r="AN300" s="165"/>
      <c r="AO300" s="193"/>
      <c r="AP300" s="193" t="e">
        <f t="shared" ca="1" si="208"/>
        <v>#NAME?</v>
      </c>
      <c r="AQ300" s="200">
        <f>AQ449</f>
        <v>1500</v>
      </c>
      <c r="AR300" s="204"/>
      <c r="AS300" s="204">
        <f>W300/V300*100</f>
        <v>100</v>
      </c>
      <c r="AT300" s="204"/>
      <c r="AU300" s="204">
        <f>AQ300/W300*100</f>
        <v>30</v>
      </c>
      <c r="AV300" s="204">
        <f>AQ300/W300*100</f>
        <v>30</v>
      </c>
    </row>
    <row r="301" spans="1:48" ht="12" customHeight="1">
      <c r="A301" s="42"/>
      <c r="B301" s="42"/>
      <c r="C301" s="42"/>
      <c r="D301" s="42"/>
      <c r="E301" s="42"/>
      <c r="F301" s="42"/>
      <c r="G301" s="42"/>
      <c r="H301" s="38"/>
      <c r="I301" s="73"/>
      <c r="J301" s="91"/>
      <c r="K301" s="84"/>
      <c r="L301" s="85"/>
      <c r="M301" s="85"/>
      <c r="N301" s="86"/>
      <c r="O301" s="86"/>
      <c r="P301" s="87"/>
      <c r="Q301" s="87"/>
      <c r="R301" s="160"/>
      <c r="S301" s="161"/>
      <c r="T301" s="161"/>
      <c r="U301" s="90" t="e">
        <f t="shared" ca="1" si="207"/>
        <v>#NAME?</v>
      </c>
      <c r="V301" s="200"/>
      <c r="W301" s="200"/>
      <c r="X301" s="162"/>
      <c r="Y301" s="181"/>
      <c r="Z301" s="181"/>
      <c r="AA301" s="181"/>
      <c r="AB301" s="181"/>
      <c r="AC301" s="182"/>
      <c r="AD301" s="182"/>
      <c r="AE301" s="178"/>
      <c r="AF301" s="178"/>
      <c r="AG301" s="178"/>
      <c r="AH301" s="178"/>
      <c r="AI301" s="181"/>
      <c r="AJ301" s="181"/>
      <c r="AK301" s="171"/>
      <c r="AL301" s="171"/>
      <c r="AM301" s="171"/>
      <c r="AN301" s="161"/>
      <c r="AO301" s="193"/>
      <c r="AP301" s="193" t="e">
        <f t="shared" ca="1" si="208"/>
        <v>#NAME?</v>
      </c>
      <c r="AQ301" s="200"/>
      <c r="AR301" s="204"/>
      <c r="AS301" s="204"/>
      <c r="AT301" s="204"/>
      <c r="AU301" s="204"/>
      <c r="AV301" s="204"/>
    </row>
    <row r="302" spans="1:48" ht="12" customHeight="1">
      <c r="A302" s="62"/>
      <c r="B302" s="62"/>
      <c r="C302" s="62"/>
      <c r="D302" s="62"/>
      <c r="E302" s="62"/>
      <c r="F302" s="62"/>
      <c r="G302" s="62"/>
      <c r="H302" s="63">
        <v>385</v>
      </c>
      <c r="I302" s="128"/>
      <c r="J302" s="129"/>
      <c r="K302" s="19" t="s">
        <v>292</v>
      </c>
      <c r="L302" s="112">
        <f t="shared" ref="L302:AD302" si="240">L303</f>
        <v>0</v>
      </c>
      <c r="M302" s="112">
        <f t="shared" si="240"/>
        <v>0</v>
      </c>
      <c r="N302" s="113">
        <f t="shared" si="240"/>
        <v>0</v>
      </c>
      <c r="O302" s="113">
        <f t="shared" si="240"/>
        <v>0</v>
      </c>
      <c r="P302" s="114">
        <f t="shared" si="240"/>
        <v>14040</v>
      </c>
      <c r="Q302" s="114">
        <f t="shared" si="240"/>
        <v>6440</v>
      </c>
      <c r="R302" s="88">
        <f t="shared" si="240"/>
        <v>0</v>
      </c>
      <c r="S302" s="90" t="e">
        <f t="shared" ca="1" si="240"/>
        <v>#NAME?</v>
      </c>
      <c r="T302" s="90"/>
      <c r="U302" s="90" t="e">
        <f t="shared" ca="1" si="207"/>
        <v>#NAME?</v>
      </c>
      <c r="V302" s="200">
        <f>V303</f>
        <v>4390</v>
      </c>
      <c r="W302" s="200">
        <f t="shared" si="240"/>
        <v>4390</v>
      </c>
      <c r="X302" s="88">
        <f t="shared" si="240"/>
        <v>5660</v>
      </c>
      <c r="Y302" s="171">
        <f t="shared" si="240"/>
        <v>1748</v>
      </c>
      <c r="Z302" s="171"/>
      <c r="AA302" s="171" t="e">
        <f t="shared" ca="1" si="240"/>
        <v>#NAME?</v>
      </c>
      <c r="AB302" s="171">
        <f t="shared" si="240"/>
        <v>0</v>
      </c>
      <c r="AC302" s="172">
        <f t="shared" si="240"/>
        <v>14450</v>
      </c>
      <c r="AD302" s="172">
        <f t="shared" si="240"/>
        <v>14450</v>
      </c>
      <c r="AE302" s="178"/>
      <c r="AF302" s="178"/>
      <c r="AG302" s="178"/>
      <c r="AH302" s="178"/>
      <c r="AI302" s="171"/>
      <c r="AJ302" s="171">
        <v>1748</v>
      </c>
      <c r="AK302" s="171"/>
      <c r="AL302" s="171">
        <f t="shared" si="220"/>
        <v>128.92938496583145</v>
      </c>
      <c r="AM302" s="171">
        <f t="shared" si="220"/>
        <v>30.883392226148409</v>
      </c>
      <c r="AN302" s="90"/>
      <c r="AO302" s="193"/>
      <c r="AP302" s="193" t="e">
        <f t="shared" ca="1" si="208"/>
        <v>#NAME?</v>
      </c>
      <c r="AQ302" s="200">
        <f>AQ303</f>
        <v>0</v>
      </c>
      <c r="AR302" s="204"/>
      <c r="AS302" s="204">
        <f>W302/V302*100</f>
        <v>100</v>
      </c>
      <c r="AT302" s="204"/>
      <c r="AU302" s="204">
        <f>AQ302/W302*100</f>
        <v>0</v>
      </c>
      <c r="AV302" s="204">
        <f>AQ302/W302*100</f>
        <v>0</v>
      </c>
    </row>
    <row r="303" spans="1:48" ht="12" customHeight="1">
      <c r="A303" s="53"/>
      <c r="B303" s="53"/>
      <c r="C303" s="53"/>
      <c r="D303" s="53"/>
      <c r="E303" s="53"/>
      <c r="F303" s="53"/>
      <c r="G303" s="53"/>
      <c r="H303" s="64">
        <v>3851</v>
      </c>
      <c r="I303" s="117"/>
      <c r="J303" s="118"/>
      <c r="K303" s="18" t="s">
        <v>293</v>
      </c>
      <c r="L303" s="130">
        <f t="shared" ref="L303:S303" si="241">L452</f>
        <v>0</v>
      </c>
      <c r="M303" s="130">
        <f t="shared" si="241"/>
        <v>0</v>
      </c>
      <c r="N303" s="131">
        <f t="shared" si="241"/>
        <v>0</v>
      </c>
      <c r="O303" s="131">
        <f t="shared" si="241"/>
        <v>0</v>
      </c>
      <c r="P303" s="132">
        <f t="shared" si="241"/>
        <v>14040</v>
      </c>
      <c r="Q303" s="132">
        <f t="shared" si="241"/>
        <v>6440</v>
      </c>
      <c r="R303" s="159">
        <f t="shared" si="241"/>
        <v>0</v>
      </c>
      <c r="S303" s="165" t="e">
        <f t="shared" ca="1" si="241"/>
        <v>#NAME?</v>
      </c>
      <c r="T303" s="165"/>
      <c r="U303" s="90" t="e">
        <f t="shared" ca="1" si="207"/>
        <v>#NAME?</v>
      </c>
      <c r="V303" s="200">
        <f>V452</f>
        <v>4390</v>
      </c>
      <c r="W303" s="200">
        <f>W452</f>
        <v>4390</v>
      </c>
      <c r="X303" s="159">
        <f>X452</f>
        <v>5660</v>
      </c>
      <c r="Y303" s="183">
        <f>Y452</f>
        <v>1748</v>
      </c>
      <c r="Z303" s="183"/>
      <c r="AA303" s="183" t="e">
        <f ca="1">AA452</f>
        <v>#NAME?</v>
      </c>
      <c r="AB303" s="183">
        <f>AB452</f>
        <v>0</v>
      </c>
      <c r="AC303" s="178">
        <f>AC452</f>
        <v>14450</v>
      </c>
      <c r="AD303" s="178">
        <f>AD452</f>
        <v>14450</v>
      </c>
      <c r="AE303" s="178"/>
      <c r="AF303" s="178"/>
      <c r="AG303" s="178"/>
      <c r="AH303" s="178"/>
      <c r="AI303" s="183"/>
      <c r="AJ303" s="183">
        <v>1748</v>
      </c>
      <c r="AK303" s="171"/>
      <c r="AL303" s="171">
        <f t="shared" si="220"/>
        <v>128.92938496583145</v>
      </c>
      <c r="AM303" s="171">
        <f t="shared" si="220"/>
        <v>30.883392226148409</v>
      </c>
      <c r="AN303" s="165"/>
      <c r="AO303" s="193"/>
      <c r="AP303" s="193" t="e">
        <f t="shared" ca="1" si="208"/>
        <v>#NAME?</v>
      </c>
      <c r="AQ303" s="200">
        <f>AQ452</f>
        <v>0</v>
      </c>
      <c r="AR303" s="204"/>
      <c r="AS303" s="204">
        <f>W303/V303*100</f>
        <v>100</v>
      </c>
      <c r="AT303" s="204"/>
      <c r="AU303" s="204">
        <f>AQ303/W303*100</f>
        <v>0</v>
      </c>
      <c r="AV303" s="204">
        <f>AQ303/W303*100</f>
        <v>0</v>
      </c>
    </row>
    <row r="304" spans="1:48" ht="12" customHeight="1">
      <c r="A304" s="69"/>
      <c r="B304" s="69"/>
      <c r="C304" s="69"/>
      <c r="D304" s="69"/>
      <c r="E304" s="69"/>
      <c r="F304" s="69"/>
      <c r="G304" s="69"/>
      <c r="H304" s="211"/>
      <c r="I304" s="141"/>
      <c r="J304" s="142"/>
      <c r="K304" s="7"/>
      <c r="L304" s="217"/>
      <c r="M304" s="217"/>
      <c r="N304" s="218"/>
      <c r="O304" s="218"/>
      <c r="P304" s="219"/>
      <c r="Q304" s="219"/>
      <c r="R304" s="282"/>
      <c r="S304" s="222"/>
      <c r="T304" s="222"/>
      <c r="U304" s="90" t="e">
        <f t="shared" ca="1" si="207"/>
        <v>#NAME?</v>
      </c>
      <c r="V304" s="200"/>
      <c r="W304" s="200"/>
      <c r="X304" s="88"/>
      <c r="Y304" s="223"/>
      <c r="Z304" s="223"/>
      <c r="AA304" s="223"/>
      <c r="AB304" s="223"/>
      <c r="AC304" s="224"/>
      <c r="AD304" s="224"/>
      <c r="AE304" s="178"/>
      <c r="AF304" s="178"/>
      <c r="AG304" s="178"/>
      <c r="AH304" s="178"/>
      <c r="AI304" s="223"/>
      <c r="AJ304" s="223"/>
      <c r="AK304" s="171"/>
      <c r="AL304" s="171"/>
      <c r="AM304" s="171"/>
      <c r="AN304" s="222"/>
      <c r="AO304" s="193"/>
      <c r="AP304" s="193" t="e">
        <f t="shared" ca="1" si="208"/>
        <v>#NAME?</v>
      </c>
      <c r="AQ304" s="200"/>
      <c r="AR304" s="204"/>
      <c r="AS304" s="204"/>
      <c r="AT304" s="204"/>
      <c r="AU304" s="204"/>
      <c r="AV304" s="204"/>
    </row>
    <row r="305" spans="1:48" ht="12" customHeight="1">
      <c r="A305" s="62"/>
      <c r="B305" s="62"/>
      <c r="C305" s="62"/>
      <c r="D305" s="62"/>
      <c r="E305" s="62"/>
      <c r="F305" s="62"/>
      <c r="G305" s="62"/>
      <c r="H305" s="63">
        <v>386</v>
      </c>
      <c r="I305" s="128"/>
      <c r="J305" s="129"/>
      <c r="K305" s="19" t="s">
        <v>294</v>
      </c>
      <c r="L305" s="112">
        <f t="shared" ref="L305:AD305" si="242">L306</f>
        <v>5335000</v>
      </c>
      <c r="M305" s="112">
        <f t="shared" si="242"/>
        <v>708076.18289202987</v>
      </c>
      <c r="N305" s="113">
        <f t="shared" si="242"/>
        <v>6706866</v>
      </c>
      <c r="O305" s="113">
        <f t="shared" si="242"/>
        <v>890154.09118056926</v>
      </c>
      <c r="P305" s="114">
        <f t="shared" si="242"/>
        <v>1061000</v>
      </c>
      <c r="Q305" s="114">
        <f t="shared" si="242"/>
        <v>1126900</v>
      </c>
      <c r="R305" s="88">
        <f t="shared" si="242"/>
        <v>968801</v>
      </c>
      <c r="S305" s="90" t="e">
        <f t="shared" ca="1" si="242"/>
        <v>#NAME?</v>
      </c>
      <c r="T305" s="90"/>
      <c r="U305" s="90" t="e">
        <f t="shared" ca="1" si="207"/>
        <v>#NAME?</v>
      </c>
      <c r="V305" s="200">
        <f>V306</f>
        <v>1141500</v>
      </c>
      <c r="W305" s="200">
        <f t="shared" si="242"/>
        <v>1104427</v>
      </c>
      <c r="X305" s="88">
        <f t="shared" si="242"/>
        <v>1970000</v>
      </c>
      <c r="Y305" s="171">
        <f t="shared" si="242"/>
        <v>1970000</v>
      </c>
      <c r="Z305" s="171"/>
      <c r="AA305" s="171" t="e">
        <f t="shared" ca="1" si="242"/>
        <v>#NAME?</v>
      </c>
      <c r="AB305" s="171">
        <f t="shared" si="242"/>
        <v>0</v>
      </c>
      <c r="AC305" s="172">
        <f t="shared" si="242"/>
        <v>1035000</v>
      </c>
      <c r="AD305" s="172">
        <f t="shared" si="242"/>
        <v>1035000</v>
      </c>
      <c r="AE305" s="178">
        <f>O305/M305*100</f>
        <v>125.71445173383317</v>
      </c>
      <c r="AF305" s="178">
        <f>P305/O305*100</f>
        <v>119.19284655456066</v>
      </c>
      <c r="AG305" s="178">
        <f>Q305/P305*100</f>
        <v>106.21112158341188</v>
      </c>
      <c r="AH305" s="178">
        <f>AC305/Q305*100</f>
        <v>91.844884195580804</v>
      </c>
      <c r="AI305" s="171"/>
      <c r="AJ305" s="171">
        <v>1970000</v>
      </c>
      <c r="AK305" s="171">
        <f>W305/R305*100</f>
        <v>113.99936622691347</v>
      </c>
      <c r="AL305" s="171">
        <f t="shared" si="220"/>
        <v>178.37303868884047</v>
      </c>
      <c r="AM305" s="171">
        <f t="shared" si="220"/>
        <v>100</v>
      </c>
      <c r="AN305" s="90"/>
      <c r="AO305" s="193"/>
      <c r="AP305" s="193" t="e">
        <f t="shared" ca="1" si="208"/>
        <v>#NAME?</v>
      </c>
      <c r="AQ305" s="200">
        <f>AQ306</f>
        <v>935975</v>
      </c>
      <c r="AR305" s="204">
        <f>V305/R305*100</f>
        <v>117.82605509284156</v>
      </c>
      <c r="AS305" s="204">
        <f>W305/V305*100</f>
        <v>96.752255803766971</v>
      </c>
      <c r="AT305" s="204">
        <f>W305/R305*100</f>
        <v>113.99936622691347</v>
      </c>
      <c r="AU305" s="204">
        <f>AQ305/W305*100</f>
        <v>84.747565932379416</v>
      </c>
      <c r="AV305" s="204">
        <f>AQ305/W305*100</f>
        <v>84.747565932379416</v>
      </c>
    </row>
    <row r="306" spans="1:48" ht="12" customHeight="1">
      <c r="A306" s="53"/>
      <c r="B306" s="53"/>
      <c r="C306" s="53"/>
      <c r="D306" s="53"/>
      <c r="E306" s="53"/>
      <c r="F306" s="53"/>
      <c r="G306" s="53"/>
      <c r="H306" s="64">
        <v>3861</v>
      </c>
      <c r="I306" s="117"/>
      <c r="J306" s="118"/>
      <c r="K306" s="18" t="s">
        <v>295</v>
      </c>
      <c r="L306" s="130">
        <f t="shared" ref="L306:S306" si="243">L572+L590+L632+L672+L689+L745+L818</f>
        <v>5335000</v>
      </c>
      <c r="M306" s="130">
        <f t="shared" si="243"/>
        <v>708076.18289202987</v>
      </c>
      <c r="N306" s="131">
        <f t="shared" si="243"/>
        <v>6706866</v>
      </c>
      <c r="O306" s="131">
        <f t="shared" si="243"/>
        <v>890154.09118056926</v>
      </c>
      <c r="P306" s="132">
        <f t="shared" si="243"/>
        <v>1061000</v>
      </c>
      <c r="Q306" s="132">
        <f t="shared" si="243"/>
        <v>1126900</v>
      </c>
      <c r="R306" s="159">
        <f t="shared" si="243"/>
        <v>968801</v>
      </c>
      <c r="S306" s="165" t="e">
        <f t="shared" ca="1" si="243"/>
        <v>#NAME?</v>
      </c>
      <c r="T306" s="165"/>
      <c r="U306" s="90" t="e">
        <f t="shared" ca="1" si="207"/>
        <v>#NAME?</v>
      </c>
      <c r="V306" s="200">
        <f>V572+V590+V632+V672+V689+V745+V818</f>
        <v>1141500</v>
      </c>
      <c r="W306" s="200">
        <f>W572+W590+W632+W672+W689+W745+W818</f>
        <v>1104427</v>
      </c>
      <c r="X306" s="159">
        <f>X572+X590+X632+X672+X689+X745+X818</f>
        <v>1970000</v>
      </c>
      <c r="Y306" s="183">
        <f>Y572+Y590+Y632+Y672+Y689+Y745+Y818</f>
        <v>1970000</v>
      </c>
      <c r="Z306" s="183"/>
      <c r="AA306" s="183" t="e">
        <f ca="1">AA572+AA590+AA632+AA672+AA689+AA745+AA818</f>
        <v>#NAME?</v>
      </c>
      <c r="AB306" s="183">
        <f>AB572+AB590+AB632+AB672+AB689+AB745+AB818</f>
        <v>0</v>
      </c>
      <c r="AC306" s="178">
        <f>AC572+AC590+AC632+AC672+AC689+AC745+AC818</f>
        <v>1035000</v>
      </c>
      <c r="AD306" s="178">
        <f>AD572+AD590+AD632+AD672+AD689+AD745+AD818</f>
        <v>1035000</v>
      </c>
      <c r="AE306" s="178">
        <f>O306/M306*100</f>
        <v>125.71445173383317</v>
      </c>
      <c r="AF306" s="178">
        <f>P306/O306*100</f>
        <v>119.19284655456066</v>
      </c>
      <c r="AG306" s="178">
        <f>Q306/P306*100</f>
        <v>106.21112158341188</v>
      </c>
      <c r="AH306" s="178">
        <f>AC306/Q306*100</f>
        <v>91.844884195580804</v>
      </c>
      <c r="AI306" s="183"/>
      <c r="AJ306" s="183">
        <v>1970000</v>
      </c>
      <c r="AK306" s="171">
        <f>W306/R306*100</f>
        <v>113.99936622691347</v>
      </c>
      <c r="AL306" s="171">
        <f t="shared" si="220"/>
        <v>178.37303868884047</v>
      </c>
      <c r="AM306" s="171">
        <f t="shared" si="220"/>
        <v>100</v>
      </c>
      <c r="AN306" s="165"/>
      <c r="AO306" s="193"/>
      <c r="AP306" s="193" t="e">
        <f t="shared" ca="1" si="208"/>
        <v>#NAME?</v>
      </c>
      <c r="AQ306" s="200">
        <f>AQ572+AQ590+AQ632+AQ672+AQ689+AQ745+AQ818</f>
        <v>935975</v>
      </c>
      <c r="AR306" s="204">
        <f>V306/R306*100</f>
        <v>117.82605509284156</v>
      </c>
      <c r="AS306" s="204">
        <f>W306/V306*100</f>
        <v>96.752255803766971</v>
      </c>
      <c r="AT306" s="204">
        <f>W306/R306*100</f>
        <v>113.99936622691347</v>
      </c>
      <c r="AU306" s="204">
        <f>AQ306/W306*100</f>
        <v>84.747565932379416</v>
      </c>
      <c r="AV306" s="204">
        <f>AQ306/W306*100</f>
        <v>84.747565932379416</v>
      </c>
    </row>
    <row r="307" spans="1:48" ht="12" customHeight="1">
      <c r="A307" s="42"/>
      <c r="B307" s="42"/>
      <c r="C307" s="42"/>
      <c r="D307" s="42"/>
      <c r="E307" s="42"/>
      <c r="F307" s="42"/>
      <c r="G307" s="42"/>
      <c r="H307" s="38"/>
      <c r="I307" s="73"/>
      <c r="J307" s="74"/>
      <c r="K307" s="84"/>
      <c r="L307" s="85"/>
      <c r="M307" s="85"/>
      <c r="N307" s="86"/>
      <c r="O307" s="86"/>
      <c r="P307" s="87"/>
      <c r="Q307" s="87"/>
      <c r="R307" s="160"/>
      <c r="S307" s="161"/>
      <c r="T307" s="161"/>
      <c r="U307" s="90" t="e">
        <f t="shared" ca="1" si="207"/>
        <v>#NAME?</v>
      </c>
      <c r="V307" s="200"/>
      <c r="W307" s="200"/>
      <c r="X307" s="162"/>
      <c r="Y307" s="181"/>
      <c r="Z307" s="181"/>
      <c r="AA307" s="181"/>
      <c r="AB307" s="181"/>
      <c r="AC307" s="182"/>
      <c r="AD307" s="182"/>
      <c r="AE307" s="178"/>
      <c r="AF307" s="178"/>
      <c r="AG307" s="178"/>
      <c r="AH307" s="178"/>
      <c r="AI307" s="181"/>
      <c r="AJ307" s="181"/>
      <c r="AK307" s="171"/>
      <c r="AL307" s="171"/>
      <c r="AM307" s="171"/>
      <c r="AN307" s="161"/>
      <c r="AO307" s="193"/>
      <c r="AP307" s="193" t="e">
        <f t="shared" ca="1" si="208"/>
        <v>#NAME?</v>
      </c>
      <c r="AQ307" s="200"/>
      <c r="AR307" s="204"/>
      <c r="AS307" s="204"/>
      <c r="AT307" s="204"/>
      <c r="AU307" s="204"/>
      <c r="AV307" s="204"/>
    </row>
    <row r="308" spans="1:48" ht="12" customHeight="1">
      <c r="A308" s="56"/>
      <c r="B308" s="56"/>
      <c r="C308" s="56"/>
      <c r="D308" s="56"/>
      <c r="E308" s="56"/>
      <c r="F308" s="56"/>
      <c r="G308" s="56"/>
      <c r="H308" s="57">
        <v>4</v>
      </c>
      <c r="I308" s="122"/>
      <c r="J308" s="123"/>
      <c r="K308" s="124" t="s">
        <v>296</v>
      </c>
      <c r="L308" s="112">
        <f t="shared" ref="L308:S308" si="244">L310+L315+L337</f>
        <v>4478424</v>
      </c>
      <c r="M308" s="112">
        <f t="shared" si="244"/>
        <v>594389.01055146323</v>
      </c>
      <c r="N308" s="113">
        <f t="shared" si="244"/>
        <v>2004477</v>
      </c>
      <c r="O308" s="113">
        <f t="shared" si="244"/>
        <v>266039.81684252433</v>
      </c>
      <c r="P308" s="114">
        <f t="shared" si="244"/>
        <v>1536700</v>
      </c>
      <c r="Q308" s="114">
        <f t="shared" si="244"/>
        <v>662060</v>
      </c>
      <c r="R308" s="88">
        <f t="shared" si="244"/>
        <v>728804</v>
      </c>
      <c r="S308" s="90" t="e">
        <f t="shared" ca="1" si="244"/>
        <v>#NAME?</v>
      </c>
      <c r="T308" s="90"/>
      <c r="U308" s="90" t="e">
        <f t="shared" ca="1" si="207"/>
        <v>#NAME?</v>
      </c>
      <c r="V308" s="200">
        <f>V310+V315+V337</f>
        <v>730000</v>
      </c>
      <c r="W308" s="200">
        <f>W310+W315+W337</f>
        <v>730771</v>
      </c>
      <c r="X308" s="88">
        <f>X310+X315+X337</f>
        <v>1104500</v>
      </c>
      <c r="Y308" s="171">
        <f>Y310+Y315+Y337</f>
        <v>911500.3</v>
      </c>
      <c r="Z308" s="171"/>
      <c r="AA308" s="171" t="e">
        <f ca="1">AA310+AA315+AA337</f>
        <v>#NAME?</v>
      </c>
      <c r="AB308" s="171">
        <f>AB310+AB315+AB337</f>
        <v>4</v>
      </c>
      <c r="AC308" s="172">
        <f>AC310+AC315+AC337</f>
        <v>495100</v>
      </c>
      <c r="AD308" s="172">
        <f>AD310+AD315+AD337</f>
        <v>495100</v>
      </c>
      <c r="AE308" s="178">
        <f>O308/M308*100</f>
        <v>44.75853559198503</v>
      </c>
      <c r="AF308" s="178">
        <f>P308/O308*100</f>
        <v>577.62030444849211</v>
      </c>
      <c r="AG308" s="178">
        <f>Q308/P308*100</f>
        <v>43.083230298692001</v>
      </c>
      <c r="AH308" s="178">
        <f>AC308/Q308*100</f>
        <v>74.781741836087363</v>
      </c>
      <c r="AI308" s="171"/>
      <c r="AJ308" s="171">
        <v>911500.3</v>
      </c>
      <c r="AK308" s="171">
        <f>W308/R308*100</f>
        <v>100.26989423768255</v>
      </c>
      <c r="AL308" s="171">
        <f t="shared" si="220"/>
        <v>151.14173934105213</v>
      </c>
      <c r="AM308" s="171">
        <f t="shared" si="220"/>
        <v>82.526057039384341</v>
      </c>
      <c r="AN308" s="90"/>
      <c r="AO308" s="193"/>
      <c r="AP308" s="193" t="e">
        <f t="shared" ca="1" si="208"/>
        <v>#NAME?</v>
      </c>
      <c r="AQ308" s="200">
        <f>AQ310+AQ315+AQ337</f>
        <v>648786.97999999986</v>
      </c>
      <c r="AR308" s="204">
        <f>V308/R308*100</f>
        <v>100.16410447802153</v>
      </c>
      <c r="AS308" s="204">
        <f>W308/V308*100</f>
        <v>100.10561643835617</v>
      </c>
      <c r="AT308" s="204">
        <f>W308/R308*100</f>
        <v>100.26989423768255</v>
      </c>
      <c r="AU308" s="204">
        <f>AQ308/W308*100</f>
        <v>88.781161266662181</v>
      </c>
      <c r="AV308" s="204">
        <f>AQ308/W308*100</f>
        <v>88.781161266662181</v>
      </c>
    </row>
    <row r="309" spans="1:48" ht="12" customHeight="1">
      <c r="A309" s="53"/>
      <c r="B309" s="53"/>
      <c r="C309" s="53"/>
      <c r="D309" s="53"/>
      <c r="E309" s="53"/>
      <c r="F309" s="53"/>
      <c r="G309" s="53"/>
      <c r="H309" s="64"/>
      <c r="I309" s="117"/>
      <c r="J309" s="118"/>
      <c r="K309" s="18"/>
      <c r="L309" s="119"/>
      <c r="M309" s="119"/>
      <c r="N309" s="120"/>
      <c r="O309" s="120"/>
      <c r="P309" s="121"/>
      <c r="Q309" s="121"/>
      <c r="R309" s="157"/>
      <c r="S309" s="158"/>
      <c r="T309" s="158"/>
      <c r="U309" s="90" t="e">
        <f t="shared" ca="1" si="207"/>
        <v>#NAME?</v>
      </c>
      <c r="V309" s="200"/>
      <c r="W309" s="200"/>
      <c r="X309" s="159"/>
      <c r="Y309" s="179"/>
      <c r="Z309" s="179"/>
      <c r="AA309" s="179"/>
      <c r="AB309" s="179"/>
      <c r="AC309" s="180"/>
      <c r="AD309" s="180"/>
      <c r="AE309" s="178"/>
      <c r="AF309" s="178"/>
      <c r="AG309" s="178"/>
      <c r="AH309" s="178"/>
      <c r="AI309" s="179"/>
      <c r="AJ309" s="179"/>
      <c r="AK309" s="171"/>
      <c r="AL309" s="171"/>
      <c r="AM309" s="171"/>
      <c r="AN309" s="158"/>
      <c r="AO309" s="193"/>
      <c r="AP309" s="193" t="e">
        <f t="shared" ca="1" si="208"/>
        <v>#NAME?</v>
      </c>
      <c r="AQ309" s="200"/>
      <c r="AR309" s="204"/>
      <c r="AS309" s="204"/>
      <c r="AT309" s="204"/>
      <c r="AU309" s="204"/>
      <c r="AV309" s="204"/>
    </row>
    <row r="310" spans="1:48" ht="12" customHeight="1">
      <c r="A310" s="59"/>
      <c r="B310" s="59"/>
      <c r="C310" s="59"/>
      <c r="D310" s="59"/>
      <c r="E310" s="59"/>
      <c r="F310" s="59"/>
      <c r="G310" s="59"/>
      <c r="H310" s="60">
        <v>41</v>
      </c>
      <c r="I310" s="125"/>
      <c r="J310" s="126"/>
      <c r="K310" s="127" t="s">
        <v>297</v>
      </c>
      <c r="L310" s="112">
        <f t="shared" ref="L310:S310" si="245">L312</f>
        <v>0</v>
      </c>
      <c r="M310" s="112">
        <f t="shared" si="245"/>
        <v>0</v>
      </c>
      <c r="N310" s="113">
        <f t="shared" si="245"/>
        <v>0</v>
      </c>
      <c r="O310" s="113">
        <f t="shared" si="245"/>
        <v>0</v>
      </c>
      <c r="P310" s="114">
        <f t="shared" si="245"/>
        <v>0</v>
      </c>
      <c r="Q310" s="114">
        <f t="shared" si="245"/>
        <v>0</v>
      </c>
      <c r="R310" s="88">
        <f t="shared" si="245"/>
        <v>0</v>
      </c>
      <c r="S310" s="90" t="e">
        <f t="shared" ca="1" si="245"/>
        <v>#NAME?</v>
      </c>
      <c r="T310" s="90"/>
      <c r="U310" s="90" t="e">
        <f t="shared" ca="1" si="207"/>
        <v>#NAME?</v>
      </c>
      <c r="V310" s="200">
        <f>V312</f>
        <v>0</v>
      </c>
      <c r="W310" s="200">
        <f>W312</f>
        <v>0</v>
      </c>
      <c r="X310" s="88">
        <f>X312</f>
        <v>0</v>
      </c>
      <c r="Y310" s="171">
        <f>Y312</f>
        <v>0</v>
      </c>
      <c r="Z310" s="171"/>
      <c r="AA310" s="171">
        <f>AA312</f>
        <v>3</v>
      </c>
      <c r="AB310" s="171">
        <f>AB312</f>
        <v>4</v>
      </c>
      <c r="AC310" s="172">
        <f>AC312</f>
        <v>0</v>
      </c>
      <c r="AD310" s="172">
        <f>AD312</f>
        <v>0</v>
      </c>
      <c r="AE310" s="178"/>
      <c r="AF310" s="178"/>
      <c r="AG310" s="178"/>
      <c r="AH310" s="178"/>
      <c r="AI310" s="171"/>
      <c r="AJ310" s="171">
        <v>0</v>
      </c>
      <c r="AK310" s="171"/>
      <c r="AL310" s="171"/>
      <c r="AM310" s="171"/>
      <c r="AN310" s="90"/>
      <c r="AO310" s="193"/>
      <c r="AP310" s="193" t="e">
        <f t="shared" ca="1" si="208"/>
        <v>#NAME?</v>
      </c>
      <c r="AQ310" s="200">
        <f>AQ312</f>
        <v>0</v>
      </c>
      <c r="AR310" s="204"/>
      <c r="AS310" s="204"/>
      <c r="AT310" s="204"/>
      <c r="AU310" s="204"/>
      <c r="AV310" s="204"/>
    </row>
    <row r="311" spans="1:48" ht="12" customHeight="1">
      <c r="A311" s="42"/>
      <c r="B311" s="42"/>
      <c r="C311" s="42"/>
      <c r="D311" s="42"/>
      <c r="E311" s="42"/>
      <c r="F311" s="42"/>
      <c r="G311" s="42"/>
      <c r="H311" s="38"/>
      <c r="I311" s="73"/>
      <c r="J311" s="74"/>
      <c r="K311" s="84"/>
      <c r="L311" s="85"/>
      <c r="M311" s="85"/>
      <c r="N311" s="86"/>
      <c r="O311" s="86"/>
      <c r="P311" s="87"/>
      <c r="Q311" s="87"/>
      <c r="R311" s="160"/>
      <c r="S311" s="161"/>
      <c r="T311" s="161"/>
      <c r="U311" s="90" t="e">
        <f t="shared" ca="1" si="207"/>
        <v>#NAME?</v>
      </c>
      <c r="V311" s="200"/>
      <c r="W311" s="200"/>
      <c r="X311" s="162"/>
      <c r="Y311" s="181"/>
      <c r="Z311" s="181"/>
      <c r="AA311" s="181"/>
      <c r="AB311" s="181"/>
      <c r="AC311" s="182"/>
      <c r="AD311" s="182"/>
      <c r="AE311" s="178"/>
      <c r="AF311" s="178"/>
      <c r="AG311" s="178"/>
      <c r="AH311" s="178"/>
      <c r="AI311" s="181"/>
      <c r="AJ311" s="181"/>
      <c r="AK311" s="171"/>
      <c r="AL311" s="171"/>
      <c r="AM311" s="171"/>
      <c r="AN311" s="161"/>
      <c r="AO311" s="193"/>
      <c r="AP311" s="193" t="e">
        <f t="shared" ca="1" si="208"/>
        <v>#NAME?</v>
      </c>
      <c r="AQ311" s="200"/>
      <c r="AR311" s="204"/>
      <c r="AS311" s="204"/>
      <c r="AT311" s="204"/>
      <c r="AU311" s="204"/>
      <c r="AV311" s="204"/>
    </row>
    <row r="312" spans="1:48" ht="12" customHeight="1">
      <c r="A312" s="62"/>
      <c r="B312" s="62"/>
      <c r="C312" s="62"/>
      <c r="D312" s="62"/>
      <c r="E312" s="62"/>
      <c r="F312" s="62"/>
      <c r="G312" s="62"/>
      <c r="H312" s="63">
        <v>411</v>
      </c>
      <c r="I312" s="128"/>
      <c r="J312" s="129"/>
      <c r="K312" s="19" t="s">
        <v>298</v>
      </c>
      <c r="L312" s="112">
        <f t="shared" ref="L312:Y312" si="246">L313</f>
        <v>0</v>
      </c>
      <c r="M312" s="112">
        <f t="shared" si="246"/>
        <v>0</v>
      </c>
      <c r="N312" s="113">
        <f t="shared" si="246"/>
        <v>0</v>
      </c>
      <c r="O312" s="113">
        <f t="shared" si="246"/>
        <v>0</v>
      </c>
      <c r="P312" s="114">
        <f t="shared" si="246"/>
        <v>0</v>
      </c>
      <c r="Q312" s="114">
        <f t="shared" si="246"/>
        <v>0</v>
      </c>
      <c r="R312" s="88">
        <f t="shared" si="246"/>
        <v>0</v>
      </c>
      <c r="S312" s="90" t="e">
        <f t="shared" ca="1" si="246"/>
        <v>#NAME?</v>
      </c>
      <c r="T312" s="90">
        <f t="shared" si="246"/>
        <v>0</v>
      </c>
      <c r="U312" s="90">
        <f t="shared" si="246"/>
        <v>0</v>
      </c>
      <c r="V312" s="200">
        <f t="shared" si="246"/>
        <v>0</v>
      </c>
      <c r="W312" s="200">
        <f t="shared" si="246"/>
        <v>0</v>
      </c>
      <c r="X312" s="88">
        <f t="shared" si="246"/>
        <v>0</v>
      </c>
      <c r="Y312" s="171">
        <f t="shared" si="246"/>
        <v>0</v>
      </c>
      <c r="Z312" s="171"/>
      <c r="AA312" s="171">
        <f>AA313</f>
        <v>3</v>
      </c>
      <c r="AB312" s="171">
        <f>AB313</f>
        <v>4</v>
      </c>
      <c r="AC312" s="172">
        <f>AC313</f>
        <v>0</v>
      </c>
      <c r="AD312" s="172">
        <f>AD313</f>
        <v>0</v>
      </c>
      <c r="AE312" s="178"/>
      <c r="AF312" s="178"/>
      <c r="AG312" s="178"/>
      <c r="AH312" s="178"/>
      <c r="AI312" s="171"/>
      <c r="AJ312" s="171">
        <v>0</v>
      </c>
      <c r="AK312" s="171"/>
      <c r="AL312" s="171"/>
      <c r="AM312" s="171"/>
      <c r="AN312" s="90"/>
      <c r="AO312" s="193"/>
      <c r="AP312" s="193" t="e">
        <f t="shared" ca="1" si="208"/>
        <v>#NAME?</v>
      </c>
      <c r="AQ312" s="200">
        <f>AQ313</f>
        <v>0</v>
      </c>
      <c r="AR312" s="204"/>
      <c r="AS312" s="204"/>
      <c r="AT312" s="204"/>
      <c r="AU312" s="204"/>
      <c r="AV312" s="204"/>
    </row>
    <row r="313" spans="1:48" ht="12" customHeight="1">
      <c r="A313" s="53"/>
      <c r="B313" s="53"/>
      <c r="C313" s="53"/>
      <c r="D313" s="53"/>
      <c r="E313" s="53"/>
      <c r="F313" s="53"/>
      <c r="G313" s="53"/>
      <c r="H313" s="64">
        <v>4111</v>
      </c>
      <c r="I313" s="117"/>
      <c r="J313" s="118"/>
      <c r="K313" s="18" t="s">
        <v>195</v>
      </c>
      <c r="L313" s="130">
        <v>0</v>
      </c>
      <c r="M313" s="130">
        <v>0</v>
      </c>
      <c r="N313" s="131">
        <v>0</v>
      </c>
      <c r="O313" s="131">
        <v>0</v>
      </c>
      <c r="P313" s="132">
        <v>0</v>
      </c>
      <c r="Q313" s="132">
        <v>0</v>
      </c>
      <c r="R313" s="159">
        <f>R473</f>
        <v>0</v>
      </c>
      <c r="S313" s="165" t="e">
        <f t="shared" ref="S313:Y313" ca="1" si="247">S473</f>
        <v>#NAME?</v>
      </c>
      <c r="T313" s="165">
        <f t="shared" si="247"/>
        <v>0</v>
      </c>
      <c r="U313" s="165">
        <f t="shared" si="247"/>
        <v>0</v>
      </c>
      <c r="V313" s="200">
        <f t="shared" si="247"/>
        <v>0</v>
      </c>
      <c r="W313" s="200">
        <f t="shared" si="247"/>
        <v>0</v>
      </c>
      <c r="X313" s="159">
        <f t="shared" si="247"/>
        <v>0</v>
      </c>
      <c r="Y313" s="183">
        <f t="shared" si="247"/>
        <v>0</v>
      </c>
      <c r="Z313" s="183"/>
      <c r="AA313" s="183">
        <v>3</v>
      </c>
      <c r="AB313" s="183">
        <v>4</v>
      </c>
      <c r="AC313" s="178">
        <f>AC473</f>
        <v>0</v>
      </c>
      <c r="AD313" s="178">
        <f>AD473</f>
        <v>0</v>
      </c>
      <c r="AE313" s="178"/>
      <c r="AF313" s="178"/>
      <c r="AG313" s="178"/>
      <c r="AH313" s="178"/>
      <c r="AI313" s="183"/>
      <c r="AJ313" s="183">
        <v>0</v>
      </c>
      <c r="AK313" s="171"/>
      <c r="AL313" s="171"/>
      <c r="AM313" s="171"/>
      <c r="AN313" s="165"/>
      <c r="AO313" s="193"/>
      <c r="AP313" s="193" t="e">
        <f t="shared" ca="1" si="208"/>
        <v>#NAME?</v>
      </c>
      <c r="AQ313" s="200">
        <f>AQ473</f>
        <v>0</v>
      </c>
      <c r="AR313" s="204"/>
      <c r="AS313" s="204"/>
      <c r="AT313" s="204"/>
      <c r="AU313" s="204"/>
      <c r="AV313" s="204"/>
    </row>
    <row r="314" spans="1:48" ht="12" customHeight="1">
      <c r="A314" s="53"/>
      <c r="B314" s="53"/>
      <c r="C314" s="53"/>
      <c r="D314" s="53"/>
      <c r="E314" s="53"/>
      <c r="F314" s="53"/>
      <c r="G314" s="53"/>
      <c r="H314" s="64"/>
      <c r="I314" s="117"/>
      <c r="J314" s="118"/>
      <c r="K314" s="18"/>
      <c r="L314" s="119"/>
      <c r="M314" s="119"/>
      <c r="N314" s="120"/>
      <c r="O314" s="120"/>
      <c r="P314" s="121"/>
      <c r="Q314" s="121"/>
      <c r="R314" s="157"/>
      <c r="S314" s="158"/>
      <c r="T314" s="158"/>
      <c r="U314" s="90" t="e">
        <f t="shared" ref="U314:U340" ca="1" si="248">__xlfn.ISFORMULA(S314)</f>
        <v>#NAME?</v>
      </c>
      <c r="V314" s="200"/>
      <c r="W314" s="200"/>
      <c r="X314" s="159"/>
      <c r="Y314" s="179"/>
      <c r="Z314" s="179"/>
      <c r="AA314" s="179"/>
      <c r="AB314" s="179"/>
      <c r="AC314" s="180"/>
      <c r="AD314" s="180"/>
      <c r="AE314" s="178"/>
      <c r="AF314" s="178"/>
      <c r="AG314" s="178"/>
      <c r="AH314" s="178"/>
      <c r="AI314" s="179"/>
      <c r="AJ314" s="179"/>
      <c r="AK314" s="171"/>
      <c r="AL314" s="171"/>
      <c r="AM314" s="171"/>
      <c r="AN314" s="158"/>
      <c r="AO314" s="193"/>
      <c r="AP314" s="193" t="e">
        <f t="shared" ca="1" si="208"/>
        <v>#NAME?</v>
      </c>
      <c r="AQ314" s="200"/>
      <c r="AR314" s="204"/>
      <c r="AS314" s="204"/>
      <c r="AT314" s="204"/>
      <c r="AU314" s="204"/>
      <c r="AV314" s="204"/>
    </row>
    <row r="315" spans="1:48" ht="12" customHeight="1">
      <c r="A315" s="59"/>
      <c r="B315" s="59"/>
      <c r="C315" s="59"/>
      <c r="D315" s="59"/>
      <c r="E315" s="59"/>
      <c r="F315" s="59"/>
      <c r="G315" s="59"/>
      <c r="H315" s="60">
        <v>42</v>
      </c>
      <c r="I315" s="125"/>
      <c r="J315" s="126"/>
      <c r="K315" s="127" t="s">
        <v>299</v>
      </c>
      <c r="L315" s="112">
        <f t="shared" ref="L315:S315" si="249">L317+L322+L330+L333</f>
        <v>2001789</v>
      </c>
      <c r="M315" s="112">
        <f t="shared" si="249"/>
        <v>265683.05793350586</v>
      </c>
      <c r="N315" s="113">
        <f t="shared" si="249"/>
        <v>1381514</v>
      </c>
      <c r="O315" s="113">
        <f t="shared" si="249"/>
        <v>183358.41794412368</v>
      </c>
      <c r="P315" s="114">
        <f t="shared" si="249"/>
        <v>1536700</v>
      </c>
      <c r="Q315" s="114">
        <f t="shared" si="249"/>
        <v>638700</v>
      </c>
      <c r="R315" s="88">
        <f t="shared" si="249"/>
        <v>702934</v>
      </c>
      <c r="S315" s="90" t="e">
        <f t="shared" ca="1" si="249"/>
        <v>#NAME?</v>
      </c>
      <c r="T315" s="90"/>
      <c r="U315" s="90" t="e">
        <f t="shared" ca="1" si="248"/>
        <v>#NAME?</v>
      </c>
      <c r="V315" s="200">
        <f>V317+V322+V330+V333</f>
        <v>730000</v>
      </c>
      <c r="W315" s="200">
        <f>W317+W322+W330+W333</f>
        <v>730771</v>
      </c>
      <c r="X315" s="88">
        <f>X317+X322+X330+X333</f>
        <v>954500</v>
      </c>
      <c r="Y315" s="171">
        <f>Y317+Y322+Y330+Y333</f>
        <v>611500.30000000005</v>
      </c>
      <c r="Z315" s="171"/>
      <c r="AA315" s="171" t="e">
        <f ca="1">AA317+AA322+AA330+AA333</f>
        <v>#NAME?</v>
      </c>
      <c r="AB315" s="171">
        <f>AB317+AB322+AB330+AB333</f>
        <v>0</v>
      </c>
      <c r="AC315" s="172">
        <f>AC317+AC322+AC330+AC333</f>
        <v>495100</v>
      </c>
      <c r="AD315" s="172">
        <f>AD317+AD322+AD330+AD333</f>
        <v>495100</v>
      </c>
      <c r="AE315" s="178">
        <f>O315/M315*100</f>
        <v>69.013967006512672</v>
      </c>
      <c r="AF315" s="178">
        <f>P315/O315*100</f>
        <v>838.08532884936403</v>
      </c>
      <c r="AG315" s="178">
        <f>Q315/P315*100</f>
        <v>41.563089737749728</v>
      </c>
      <c r="AH315" s="178">
        <f>AC315/Q315*100</f>
        <v>77.516831063096916</v>
      </c>
      <c r="AI315" s="171"/>
      <c r="AJ315" s="171">
        <v>611500.30000000005</v>
      </c>
      <c r="AK315" s="171">
        <f>W315/R315*100</f>
        <v>103.96011574344107</v>
      </c>
      <c r="AL315" s="171">
        <f t="shared" si="220"/>
        <v>130.61547324674899</v>
      </c>
      <c r="AM315" s="171">
        <f t="shared" si="220"/>
        <v>64.064986904138294</v>
      </c>
      <c r="AN315" s="90"/>
      <c r="AO315" s="193"/>
      <c r="AP315" s="193" t="e">
        <f t="shared" ca="1" si="208"/>
        <v>#NAME?</v>
      </c>
      <c r="AQ315" s="200">
        <f>AQ317+AQ322+AQ330+AQ333</f>
        <v>648786.97999999986</v>
      </c>
      <c r="AR315" s="204">
        <f>V315/R315*100</f>
        <v>103.85043261529532</v>
      </c>
      <c r="AS315" s="204">
        <f>W315/V315*100</f>
        <v>100.10561643835617</v>
      </c>
      <c r="AT315" s="204">
        <f>W315/R315*100</f>
        <v>103.96011574344107</v>
      </c>
      <c r="AU315" s="204">
        <f>AQ315/W315*100</f>
        <v>88.781161266662181</v>
      </c>
      <c r="AV315" s="204">
        <f>AQ315/W315*100</f>
        <v>88.781161266662181</v>
      </c>
    </row>
    <row r="316" spans="1:48" ht="12" customHeight="1">
      <c r="A316" s="42"/>
      <c r="B316" s="42"/>
      <c r="C316" s="42"/>
      <c r="D316" s="42"/>
      <c r="E316" s="42"/>
      <c r="F316" s="42"/>
      <c r="G316" s="42"/>
      <c r="H316" s="38"/>
      <c r="I316" s="73"/>
      <c r="J316" s="74"/>
      <c r="K316" s="84"/>
      <c r="L316" s="85"/>
      <c r="M316" s="85"/>
      <c r="N316" s="86"/>
      <c r="O316" s="86"/>
      <c r="P316" s="87"/>
      <c r="Q316" s="87"/>
      <c r="R316" s="160"/>
      <c r="S316" s="161"/>
      <c r="T316" s="161"/>
      <c r="U316" s="90" t="e">
        <f t="shared" ca="1" si="248"/>
        <v>#NAME?</v>
      </c>
      <c r="V316" s="200"/>
      <c r="W316" s="200"/>
      <c r="X316" s="162"/>
      <c r="Y316" s="181"/>
      <c r="Z316" s="181"/>
      <c r="AA316" s="181"/>
      <c r="AB316" s="181"/>
      <c r="AC316" s="182"/>
      <c r="AD316" s="182"/>
      <c r="AE316" s="178"/>
      <c r="AF316" s="178"/>
      <c r="AG316" s="178"/>
      <c r="AH316" s="178"/>
      <c r="AI316" s="181"/>
      <c r="AJ316" s="181"/>
      <c r="AK316" s="171"/>
      <c r="AL316" s="171"/>
      <c r="AM316" s="171"/>
      <c r="AN316" s="161"/>
      <c r="AO316" s="193"/>
      <c r="AP316" s="193" t="e">
        <f t="shared" ca="1" si="208"/>
        <v>#NAME?</v>
      </c>
      <c r="AQ316" s="200"/>
      <c r="AR316" s="204"/>
      <c r="AS316" s="204"/>
      <c r="AT316" s="204"/>
      <c r="AU316" s="204"/>
      <c r="AV316" s="204"/>
    </row>
    <row r="317" spans="1:48" ht="12" customHeight="1">
      <c r="A317" s="62"/>
      <c r="B317" s="62"/>
      <c r="C317" s="62"/>
      <c r="D317" s="62"/>
      <c r="E317" s="62"/>
      <c r="F317" s="62"/>
      <c r="G317" s="62"/>
      <c r="H317" s="63">
        <v>421</v>
      </c>
      <c r="I317" s="128"/>
      <c r="J317" s="129"/>
      <c r="K317" s="19" t="s">
        <v>300</v>
      </c>
      <c r="L317" s="112">
        <f t="shared" ref="L317:S317" si="250">L318+L319+L320</f>
        <v>1627658</v>
      </c>
      <c r="M317" s="112">
        <f t="shared" si="250"/>
        <v>216027.34089853341</v>
      </c>
      <c r="N317" s="113">
        <f t="shared" si="250"/>
        <v>484558</v>
      </c>
      <c r="O317" s="113">
        <f t="shared" si="250"/>
        <v>64311.898599774366</v>
      </c>
      <c r="P317" s="114">
        <f t="shared" si="250"/>
        <v>1420700</v>
      </c>
      <c r="Q317" s="114">
        <f t="shared" si="250"/>
        <v>573600</v>
      </c>
      <c r="R317" s="88">
        <f t="shared" si="250"/>
        <v>635308</v>
      </c>
      <c r="S317" s="90" t="e">
        <f t="shared" ca="1" si="250"/>
        <v>#NAME?</v>
      </c>
      <c r="T317" s="90"/>
      <c r="U317" s="90" t="e">
        <f t="shared" ca="1" si="248"/>
        <v>#NAME?</v>
      </c>
      <c r="V317" s="200">
        <f>V318+V319+V320</f>
        <v>581500</v>
      </c>
      <c r="W317" s="200">
        <f>W318+W319+W320</f>
        <v>582271</v>
      </c>
      <c r="X317" s="88">
        <f>X318+X319+X320</f>
        <v>860000</v>
      </c>
      <c r="Y317" s="171">
        <f>Y318+Y319+Y320</f>
        <v>475000</v>
      </c>
      <c r="Z317" s="171"/>
      <c r="AA317" s="171" t="e">
        <f ca="1">AA318+AA319+AA320</f>
        <v>#NAME?</v>
      </c>
      <c r="AB317" s="171">
        <f>AB318+AB319+AB320</f>
        <v>0</v>
      </c>
      <c r="AC317" s="172">
        <f>AC318+AC319+AC320</f>
        <v>402600</v>
      </c>
      <c r="AD317" s="172">
        <f>AD318+AD319+AD320</f>
        <v>402600</v>
      </c>
      <c r="AE317" s="178">
        <f>O317/M317*100</f>
        <v>29.77025886273406</v>
      </c>
      <c r="AF317" s="178"/>
      <c r="AG317" s="178"/>
      <c r="AH317" s="178"/>
      <c r="AI317" s="171"/>
      <c r="AJ317" s="171">
        <v>475000</v>
      </c>
      <c r="AK317" s="171">
        <f>W317/R317*100</f>
        <v>91.651765757711217</v>
      </c>
      <c r="AL317" s="171">
        <f t="shared" si="220"/>
        <v>147.6975497663459</v>
      </c>
      <c r="AM317" s="171">
        <f t="shared" si="220"/>
        <v>55.232558139534881</v>
      </c>
      <c r="AN317" s="90"/>
      <c r="AO317" s="193"/>
      <c r="AP317" s="193" t="e">
        <f t="shared" ca="1" si="208"/>
        <v>#NAME?</v>
      </c>
      <c r="AQ317" s="200">
        <f>AQ318+AQ319+AQ320</f>
        <v>550856.06999999995</v>
      </c>
      <c r="AR317" s="204">
        <f>V317/R317*100</f>
        <v>91.530407298507171</v>
      </c>
      <c r="AS317" s="204">
        <f>W317/V317*100</f>
        <v>100.13258813413586</v>
      </c>
      <c r="AT317" s="204">
        <f>W317/R317*100</f>
        <v>91.651765757711217</v>
      </c>
      <c r="AU317" s="204">
        <f>AQ317/W317*100</f>
        <v>94.604757921998512</v>
      </c>
      <c r="AV317" s="204">
        <f>AQ317/W317*100</f>
        <v>94.604757921998512</v>
      </c>
    </row>
    <row r="318" spans="1:48" ht="12" customHeight="1">
      <c r="A318" s="53"/>
      <c r="B318" s="53"/>
      <c r="C318" s="53"/>
      <c r="D318" s="53"/>
      <c r="E318" s="53"/>
      <c r="F318" s="53"/>
      <c r="G318" s="53"/>
      <c r="H318" s="64">
        <v>4212</v>
      </c>
      <c r="I318" s="117"/>
      <c r="J318" s="118"/>
      <c r="K318" s="18" t="s">
        <v>204</v>
      </c>
      <c r="L318" s="130">
        <f>L521+L739+L969+L970+L978+L979+L758+L766</f>
        <v>517164</v>
      </c>
      <c r="M318" s="130">
        <f>M521+M739+M969+M970+M978+M979+M758+M766</f>
        <v>68639.458490941659</v>
      </c>
      <c r="N318" s="131">
        <f t="shared" ref="N318:S318" si="251">N521+N739+N969+N970+N978+N979+N758+N759+N766</f>
        <v>454368</v>
      </c>
      <c r="O318" s="131">
        <f t="shared" si="251"/>
        <v>60304.997013736807</v>
      </c>
      <c r="P318" s="132">
        <f t="shared" si="251"/>
        <v>1088300</v>
      </c>
      <c r="Q318" s="132">
        <f t="shared" si="251"/>
        <v>532600</v>
      </c>
      <c r="R318" s="159">
        <f t="shared" si="251"/>
        <v>597664</v>
      </c>
      <c r="S318" s="165" t="e">
        <f t="shared" ca="1" si="251"/>
        <v>#NAME?</v>
      </c>
      <c r="T318" s="165"/>
      <c r="U318" s="90" t="e">
        <f t="shared" ca="1" si="248"/>
        <v>#NAME?</v>
      </c>
      <c r="V318" s="200">
        <f>V521+V739+V969+V970+V978+V979+V758+V759+V766</f>
        <v>515000</v>
      </c>
      <c r="W318" s="200">
        <f>W521+W739+W969+W970+W978+W979+W758+W759+W766</f>
        <v>515771</v>
      </c>
      <c r="X318" s="159">
        <f t="shared" ref="X318:AD318" si="252">X521+X739+X969+X970+X978+X979+X758+X759+X766</f>
        <v>590000</v>
      </c>
      <c r="Y318" s="183">
        <f t="shared" si="252"/>
        <v>150000</v>
      </c>
      <c r="Z318" s="183"/>
      <c r="AA318" s="183" t="e">
        <f t="shared" ca="1" si="252"/>
        <v>#NAME?</v>
      </c>
      <c r="AB318" s="183">
        <f t="shared" si="252"/>
        <v>0</v>
      </c>
      <c r="AC318" s="178">
        <f t="shared" si="252"/>
        <v>172600</v>
      </c>
      <c r="AD318" s="178">
        <f t="shared" si="252"/>
        <v>172600</v>
      </c>
      <c r="AE318" s="178">
        <f>O318/M318*100</f>
        <v>87.857623500475682</v>
      </c>
      <c r="AF318" s="178"/>
      <c r="AG318" s="178"/>
      <c r="AH318" s="178"/>
      <c r="AI318" s="183"/>
      <c r="AJ318" s="183">
        <v>150000</v>
      </c>
      <c r="AK318" s="171">
        <f>W318/R318*100</f>
        <v>86.297819510628045</v>
      </c>
      <c r="AL318" s="171">
        <f t="shared" si="220"/>
        <v>114.39185219797159</v>
      </c>
      <c r="AM318" s="171">
        <f t="shared" si="220"/>
        <v>25.423728813559322</v>
      </c>
      <c r="AN318" s="165"/>
      <c r="AO318" s="193"/>
      <c r="AP318" s="193" t="e">
        <f t="shared" ca="1" si="208"/>
        <v>#NAME?</v>
      </c>
      <c r="AQ318" s="200">
        <f>AQ521+AQ739+AQ969+AQ970+AQ978+AQ979+AQ758+AQ759+AQ766</f>
        <v>484863.20999999996</v>
      </c>
      <c r="AR318" s="204">
        <f>V318/R318*100</f>
        <v>86.168817261872888</v>
      </c>
      <c r="AS318" s="204">
        <f>W318/V318*100</f>
        <v>100.14970873786409</v>
      </c>
      <c r="AT318" s="204">
        <f>W318/R318*100</f>
        <v>86.297819510628045</v>
      </c>
      <c r="AU318" s="204">
        <f>AQ318/W318*100</f>
        <v>94.007458736532286</v>
      </c>
      <c r="AV318" s="204">
        <f>AQ318/W318*100</f>
        <v>94.007458736532286</v>
      </c>
    </row>
    <row r="319" spans="1:48" ht="12" customHeight="1">
      <c r="A319" s="53"/>
      <c r="B319" s="53"/>
      <c r="C319" s="53"/>
      <c r="D319" s="53"/>
      <c r="E319" s="53"/>
      <c r="F319" s="53"/>
      <c r="G319" s="53"/>
      <c r="H319" s="64">
        <v>4213</v>
      </c>
      <c r="I319" s="117"/>
      <c r="J319" s="118"/>
      <c r="K319" s="18" t="s">
        <v>301</v>
      </c>
      <c r="L319" s="130">
        <f t="shared" ref="L319:S319" si="253">L580+L581</f>
        <v>322407</v>
      </c>
      <c r="M319" s="130">
        <f t="shared" si="253"/>
        <v>42790.762492534341</v>
      </c>
      <c r="N319" s="131">
        <f t="shared" si="253"/>
        <v>0</v>
      </c>
      <c r="O319" s="131">
        <f t="shared" si="253"/>
        <v>0</v>
      </c>
      <c r="P319" s="132">
        <f t="shared" si="253"/>
        <v>10000</v>
      </c>
      <c r="Q319" s="132">
        <f t="shared" si="253"/>
        <v>0</v>
      </c>
      <c r="R319" s="159">
        <f t="shared" si="253"/>
        <v>0</v>
      </c>
      <c r="S319" s="165" t="e">
        <f t="shared" ca="1" si="253"/>
        <v>#NAME?</v>
      </c>
      <c r="T319" s="165"/>
      <c r="U319" s="90" t="e">
        <f t="shared" ca="1" si="248"/>
        <v>#NAME?</v>
      </c>
      <c r="V319" s="200">
        <f>V580+V581</f>
        <v>40000</v>
      </c>
      <c r="W319" s="200">
        <f>W580+W581</f>
        <v>40000</v>
      </c>
      <c r="X319" s="159">
        <f>X580+X581</f>
        <v>20000</v>
      </c>
      <c r="Y319" s="183">
        <f>Y580+Y581</f>
        <v>25000</v>
      </c>
      <c r="Z319" s="183"/>
      <c r="AA319" s="183" t="e">
        <f ca="1">AA580+AA581</f>
        <v>#NAME?</v>
      </c>
      <c r="AB319" s="183">
        <f>AB580+AB581</f>
        <v>0</v>
      </c>
      <c r="AC319" s="178">
        <f>AC580+AC581</f>
        <v>10000</v>
      </c>
      <c r="AD319" s="178">
        <f>AD580+AD581</f>
        <v>10000</v>
      </c>
      <c r="AE319" s="178">
        <f>O319/M319*100</f>
        <v>0</v>
      </c>
      <c r="AF319" s="178"/>
      <c r="AG319" s="178">
        <f>Q319/P319*100</f>
        <v>0</v>
      </c>
      <c r="AH319" s="178"/>
      <c r="AI319" s="183"/>
      <c r="AJ319" s="183">
        <v>25000</v>
      </c>
      <c r="AK319" s="171"/>
      <c r="AL319" s="171">
        <f t="shared" si="220"/>
        <v>50</v>
      </c>
      <c r="AM319" s="171">
        <f t="shared" si="220"/>
        <v>125</v>
      </c>
      <c r="AN319" s="165"/>
      <c r="AO319" s="193"/>
      <c r="AP319" s="193" t="e">
        <f t="shared" ca="1" si="208"/>
        <v>#NAME?</v>
      </c>
      <c r="AQ319" s="200">
        <f>AQ580+AQ581</f>
        <v>49581.61</v>
      </c>
      <c r="AR319" s="204"/>
      <c r="AS319" s="204">
        <f>W319/V319*100</f>
        <v>100</v>
      </c>
      <c r="AT319" s="204"/>
      <c r="AU319" s="204">
        <f>AQ319/W319*100</f>
        <v>123.95402500000002</v>
      </c>
      <c r="AV319" s="204">
        <f>AQ319/W319*100</f>
        <v>123.95402500000002</v>
      </c>
    </row>
    <row r="320" spans="1:48" ht="12" customHeight="1">
      <c r="A320" s="53"/>
      <c r="B320" s="53"/>
      <c r="C320" s="53"/>
      <c r="D320" s="53"/>
      <c r="E320" s="53"/>
      <c r="F320" s="53"/>
      <c r="G320" s="53"/>
      <c r="H320" s="64">
        <v>4214</v>
      </c>
      <c r="I320" s="117"/>
      <c r="J320" s="118"/>
      <c r="K320" s="18" t="s">
        <v>206</v>
      </c>
      <c r="L320" s="130">
        <f>L582+L583+L584+L596+L641+L642+L751</f>
        <v>788087</v>
      </c>
      <c r="M320" s="130">
        <f>M582+M583+M584+M596+M641+M642+M751</f>
        <v>104597.1199150574</v>
      </c>
      <c r="N320" s="131">
        <f t="shared" ref="N320:S320" si="254">N582+N583+N584+N596+N641+N642+N652+N751</f>
        <v>30190</v>
      </c>
      <c r="O320" s="131">
        <f t="shared" si="254"/>
        <v>4006.9015860375603</v>
      </c>
      <c r="P320" s="132">
        <f t="shared" si="254"/>
        <v>322400</v>
      </c>
      <c r="Q320" s="132">
        <f t="shared" si="254"/>
        <v>41000</v>
      </c>
      <c r="R320" s="159">
        <f t="shared" si="254"/>
        <v>37644</v>
      </c>
      <c r="S320" s="165" t="e">
        <f t="shared" ca="1" si="254"/>
        <v>#NAME?</v>
      </c>
      <c r="T320" s="165"/>
      <c r="U320" s="90" t="e">
        <f t="shared" ca="1" si="248"/>
        <v>#NAME?</v>
      </c>
      <c r="V320" s="200">
        <f>V582+V583+V584+V596+V641+V642+V652+V751</f>
        <v>26500</v>
      </c>
      <c r="W320" s="200">
        <f>W582+W583+W584+W596+W641+W642+W652+W751</f>
        <v>26500</v>
      </c>
      <c r="X320" s="159">
        <f>X582+X583+X584+X596+X641+X642+X652+X751</f>
        <v>250000</v>
      </c>
      <c r="Y320" s="183">
        <f>Y582+Y583+Y584+Y596+Y641+Y642+Y652+Y751</f>
        <v>300000</v>
      </c>
      <c r="Z320" s="183"/>
      <c r="AA320" s="183" t="e">
        <f ca="1">AA582+AA583+AA584+AA596+AA641+AA642+AA652+AA751</f>
        <v>#NAME?</v>
      </c>
      <c r="AB320" s="183">
        <f>AB582+AB583+AB584+AB596+AB641+AB642+AB652+AB751</f>
        <v>0</v>
      </c>
      <c r="AC320" s="178">
        <f>AC582+AC583+AC584+AC596+AC641+AC642+AC751</f>
        <v>220000</v>
      </c>
      <c r="AD320" s="178">
        <f>AD582+AD583+AD584+AD596+AD641+AD642+AD751</f>
        <v>220000</v>
      </c>
      <c r="AE320" s="178">
        <f>O320/M320*100</f>
        <v>3.8307953309723421</v>
      </c>
      <c r="AF320" s="178"/>
      <c r="AG320" s="178"/>
      <c r="AH320" s="178"/>
      <c r="AI320" s="183"/>
      <c r="AJ320" s="183">
        <v>300000</v>
      </c>
      <c r="AK320" s="171">
        <f>W320/R320*100</f>
        <v>70.396344703007117</v>
      </c>
      <c r="AL320" s="171">
        <f t="shared" si="220"/>
        <v>943.39622641509436</v>
      </c>
      <c r="AM320" s="171">
        <f t="shared" si="220"/>
        <v>120</v>
      </c>
      <c r="AN320" s="165"/>
      <c r="AO320" s="193"/>
      <c r="AP320" s="193" t="e">
        <f t="shared" ca="1" si="208"/>
        <v>#NAME?</v>
      </c>
      <c r="AQ320" s="200">
        <f>AQ582+AQ583+AQ584+AQ596+AQ641+AQ642+AQ652+AQ751</f>
        <v>16411.25</v>
      </c>
      <c r="AR320" s="204">
        <f>V320/R320*100</f>
        <v>70.396344703007117</v>
      </c>
      <c r="AS320" s="204">
        <f>W320/V320*100</f>
        <v>100</v>
      </c>
      <c r="AT320" s="204">
        <f>W320/R320*100</f>
        <v>70.396344703007117</v>
      </c>
      <c r="AU320" s="204">
        <f>AQ320/W320*100</f>
        <v>61.929245283018865</v>
      </c>
      <c r="AV320" s="204">
        <f>AQ320/W320*100</f>
        <v>61.929245283018865</v>
      </c>
    </row>
    <row r="321" spans="1:48" ht="12" customHeight="1">
      <c r="A321" s="53"/>
      <c r="B321" s="53"/>
      <c r="C321" s="53"/>
      <c r="D321" s="53"/>
      <c r="E321" s="53"/>
      <c r="F321" s="53"/>
      <c r="G321" s="53"/>
      <c r="H321" s="64"/>
      <c r="I321" s="117"/>
      <c r="J321" s="118"/>
      <c r="K321" s="18"/>
      <c r="L321" s="119"/>
      <c r="M321" s="119"/>
      <c r="N321" s="120"/>
      <c r="O321" s="120"/>
      <c r="P321" s="121"/>
      <c r="Q321" s="121"/>
      <c r="R321" s="157"/>
      <c r="S321" s="158"/>
      <c r="T321" s="158"/>
      <c r="U321" s="90" t="e">
        <f t="shared" ca="1" si="248"/>
        <v>#NAME?</v>
      </c>
      <c r="V321" s="200"/>
      <c r="W321" s="200"/>
      <c r="X321" s="159"/>
      <c r="Y321" s="179"/>
      <c r="Z321" s="179"/>
      <c r="AA321" s="179"/>
      <c r="AB321" s="179"/>
      <c r="AC321" s="180"/>
      <c r="AD321" s="180"/>
      <c r="AE321" s="178"/>
      <c r="AF321" s="178"/>
      <c r="AG321" s="178"/>
      <c r="AH321" s="178"/>
      <c r="AI321" s="179"/>
      <c r="AJ321" s="179"/>
      <c r="AK321" s="171"/>
      <c r="AL321" s="171"/>
      <c r="AM321" s="171"/>
      <c r="AN321" s="158"/>
      <c r="AO321" s="193"/>
      <c r="AP321" s="193" t="e">
        <f t="shared" ca="1" si="208"/>
        <v>#NAME?</v>
      </c>
      <c r="AQ321" s="200"/>
      <c r="AR321" s="204"/>
      <c r="AS321" s="204"/>
      <c r="AT321" s="204"/>
      <c r="AU321" s="204"/>
      <c r="AV321" s="204"/>
    </row>
    <row r="322" spans="1:48" ht="12" customHeight="1">
      <c r="A322" s="62"/>
      <c r="B322" s="62"/>
      <c r="C322" s="62"/>
      <c r="D322" s="62"/>
      <c r="E322" s="62"/>
      <c r="F322" s="62"/>
      <c r="G322" s="62"/>
      <c r="H322" s="63">
        <v>422</v>
      </c>
      <c r="I322" s="128"/>
      <c r="J322" s="129"/>
      <c r="K322" s="19" t="s">
        <v>302</v>
      </c>
      <c r="L322" s="112">
        <f t="shared" ref="L322:S322" si="255">L324+L325+L326+L327+L328</f>
        <v>87010</v>
      </c>
      <c r="M322" s="112">
        <f t="shared" si="255"/>
        <v>11548.211560156611</v>
      </c>
      <c r="N322" s="113">
        <f t="shared" si="255"/>
        <v>486231</v>
      </c>
      <c r="O322" s="113">
        <f t="shared" si="255"/>
        <v>64533.943858252045</v>
      </c>
      <c r="P322" s="114">
        <f t="shared" si="255"/>
        <v>36100</v>
      </c>
      <c r="Q322" s="114">
        <f t="shared" si="255"/>
        <v>28700</v>
      </c>
      <c r="R322" s="88">
        <f t="shared" si="255"/>
        <v>37691</v>
      </c>
      <c r="S322" s="90" t="e">
        <f t="shared" ca="1" si="255"/>
        <v>#NAME?</v>
      </c>
      <c r="T322" s="90"/>
      <c r="U322" s="90" t="e">
        <f t="shared" ca="1" si="248"/>
        <v>#NAME?</v>
      </c>
      <c r="V322" s="200">
        <f>V324+V325+V326+V327+V328</f>
        <v>82500</v>
      </c>
      <c r="W322" s="200">
        <f>W324+W325+W326+W327+W328</f>
        <v>82500</v>
      </c>
      <c r="X322" s="88">
        <f>X324+X325+X326+X327+X328</f>
        <v>62500</v>
      </c>
      <c r="Y322" s="171">
        <f>Y324+Y325+Y326+Y327+Y328</f>
        <v>67500.3</v>
      </c>
      <c r="Z322" s="171"/>
      <c r="AA322" s="171" t="e">
        <f ca="1">AA324+AA325+AA326+AA327+AA328</f>
        <v>#NAME?</v>
      </c>
      <c r="AB322" s="171">
        <f>AB324+AB325+AB326+AB327+AB328</f>
        <v>0</v>
      </c>
      <c r="AC322" s="172">
        <f>AC324+AC325+AC326+AC327+AC328</f>
        <v>27500</v>
      </c>
      <c r="AD322" s="172">
        <f>AD324+AD325+AD326+AD327+AD328</f>
        <v>27500</v>
      </c>
      <c r="AE322" s="178">
        <f>O322/M322*100</f>
        <v>558.8219744856915</v>
      </c>
      <c r="AF322" s="178">
        <f>P322/O322*100</f>
        <v>55.939553422138857</v>
      </c>
      <c r="AG322" s="178">
        <f>Q322/P322*100</f>
        <v>79.501385041551245</v>
      </c>
      <c r="AH322" s="178">
        <f>AC322/Q322*100</f>
        <v>95.818815331010455</v>
      </c>
      <c r="AI322" s="171"/>
      <c r="AJ322" s="171">
        <v>67500.3</v>
      </c>
      <c r="AK322" s="171">
        <f>W322/R322*100</f>
        <v>218.88514499482636</v>
      </c>
      <c r="AL322" s="171">
        <f t="shared" si="220"/>
        <v>75.757575757575751</v>
      </c>
      <c r="AM322" s="171">
        <f t="shared" si="220"/>
        <v>108.00048</v>
      </c>
      <c r="AN322" s="90"/>
      <c r="AO322" s="193"/>
      <c r="AP322" s="193" t="e">
        <f t="shared" ca="1" si="208"/>
        <v>#NAME?</v>
      </c>
      <c r="AQ322" s="200">
        <f>AQ324+AQ325+AQ326+AQ327+AQ328</f>
        <v>69840.81</v>
      </c>
      <c r="AR322" s="204">
        <f>V322/R322*100</f>
        <v>218.88514499482636</v>
      </c>
      <c r="AS322" s="204">
        <f>W322/V322*100</f>
        <v>100</v>
      </c>
      <c r="AT322" s="204">
        <f>W322/R322*100</f>
        <v>218.88514499482636</v>
      </c>
      <c r="AU322" s="204">
        <f>AQ322/W322*100</f>
        <v>84.655527272727269</v>
      </c>
      <c r="AV322" s="204">
        <f>AQ322/W322*100</f>
        <v>84.655527272727269</v>
      </c>
    </row>
    <row r="323" spans="1:48" ht="12" customHeight="1">
      <c r="A323" s="42"/>
      <c r="B323" s="42"/>
      <c r="C323" s="42"/>
      <c r="D323" s="42"/>
      <c r="E323" s="42"/>
      <c r="F323" s="42"/>
      <c r="G323" s="42"/>
      <c r="H323" s="38"/>
      <c r="I323" s="73"/>
      <c r="J323" s="91"/>
      <c r="K323" s="84"/>
      <c r="L323" s="85">
        <v>1</v>
      </c>
      <c r="M323" s="85">
        <v>2</v>
      </c>
      <c r="N323" s="86">
        <v>3</v>
      </c>
      <c r="O323" s="86">
        <v>4</v>
      </c>
      <c r="P323" s="87">
        <v>5</v>
      </c>
      <c r="Q323" s="87">
        <v>6</v>
      </c>
      <c r="R323" s="160"/>
      <c r="S323" s="161"/>
      <c r="T323" s="161"/>
      <c r="U323" s="90" t="e">
        <f t="shared" ca="1" si="248"/>
        <v>#NAME?</v>
      </c>
      <c r="V323" s="200"/>
      <c r="W323" s="200"/>
      <c r="X323" s="162"/>
      <c r="Y323" s="181"/>
      <c r="Z323" s="181"/>
      <c r="AA323" s="181"/>
      <c r="AB323" s="181"/>
      <c r="AC323" s="182">
        <v>7</v>
      </c>
      <c r="AD323" s="182">
        <v>8</v>
      </c>
      <c r="AE323" s="182">
        <v>9</v>
      </c>
      <c r="AF323" s="182">
        <v>10</v>
      </c>
      <c r="AG323" s="182">
        <v>11</v>
      </c>
      <c r="AH323" s="182">
        <v>12</v>
      </c>
      <c r="AI323" s="181"/>
      <c r="AJ323" s="181"/>
      <c r="AK323" s="171"/>
      <c r="AL323" s="171"/>
      <c r="AM323" s="171"/>
      <c r="AN323" s="161"/>
      <c r="AO323" s="193"/>
      <c r="AP323" s="193" t="e">
        <f t="shared" ca="1" si="208"/>
        <v>#NAME?</v>
      </c>
      <c r="AQ323" s="200"/>
      <c r="AR323" s="204"/>
      <c r="AS323" s="204"/>
      <c r="AT323" s="204"/>
      <c r="AU323" s="204"/>
      <c r="AV323" s="204"/>
    </row>
    <row r="324" spans="1:48" ht="12" customHeight="1">
      <c r="A324" s="53"/>
      <c r="B324" s="53"/>
      <c r="C324" s="53"/>
      <c r="D324" s="53"/>
      <c r="E324" s="53"/>
      <c r="F324" s="53"/>
      <c r="G324" s="53"/>
      <c r="H324" s="64">
        <v>4221</v>
      </c>
      <c r="I324" s="117"/>
      <c r="J324" s="118"/>
      <c r="K324" s="18" t="s">
        <v>303</v>
      </c>
      <c r="L324" s="130">
        <f t="shared" ref="L324:S324" si="256">L459+L1209+L1115+L1059</f>
        <v>37802</v>
      </c>
      <c r="M324" s="130">
        <f t="shared" si="256"/>
        <v>5017.1876036896938</v>
      </c>
      <c r="N324" s="131">
        <f t="shared" si="256"/>
        <v>39710</v>
      </c>
      <c r="O324" s="131">
        <f t="shared" si="256"/>
        <v>5270.4227221448</v>
      </c>
      <c r="P324" s="132">
        <f t="shared" si="256"/>
        <v>9800</v>
      </c>
      <c r="Q324" s="132">
        <f t="shared" si="256"/>
        <v>9800</v>
      </c>
      <c r="R324" s="159">
        <f t="shared" si="256"/>
        <v>9137</v>
      </c>
      <c r="S324" s="165">
        <f t="shared" si="256"/>
        <v>4297</v>
      </c>
      <c r="T324" s="165"/>
      <c r="U324" s="90" t="e">
        <f t="shared" ca="1" si="248"/>
        <v>#NAME?</v>
      </c>
      <c r="V324" s="200">
        <f>V459+V1209+V1115+V1059</f>
        <v>23500</v>
      </c>
      <c r="W324" s="200">
        <f>W459+W1209+W1115+W1059</f>
        <v>23500</v>
      </c>
      <c r="X324" s="159">
        <f t="shared" ref="X324:AD324" si="257">X459+X1209+X1115+X1059</f>
        <v>17000</v>
      </c>
      <c r="Y324" s="183">
        <f t="shared" si="257"/>
        <v>19000</v>
      </c>
      <c r="Z324" s="183"/>
      <c r="AA324" s="183" t="e">
        <f t="shared" ca="1" si="257"/>
        <v>#NAME?</v>
      </c>
      <c r="AB324" s="183">
        <f t="shared" si="257"/>
        <v>0</v>
      </c>
      <c r="AC324" s="178">
        <f t="shared" si="257"/>
        <v>10000</v>
      </c>
      <c r="AD324" s="178">
        <f t="shared" si="257"/>
        <v>10000</v>
      </c>
      <c r="AE324" s="178">
        <f>O324/M324*100</f>
        <v>105.0473519919581</v>
      </c>
      <c r="AF324" s="178">
        <f>P324/O324*100</f>
        <v>185.94333920926721</v>
      </c>
      <c r="AG324" s="178">
        <f>Q324/P324*100</f>
        <v>100</v>
      </c>
      <c r="AH324" s="178">
        <f>AC324/Q324*100</f>
        <v>102.04081632653062</v>
      </c>
      <c r="AI324" s="183"/>
      <c r="AJ324" s="183">
        <v>19000</v>
      </c>
      <c r="AK324" s="171">
        <f>W324/R324*100</f>
        <v>257.19601619787676</v>
      </c>
      <c r="AL324" s="171">
        <f t="shared" si="220"/>
        <v>72.340425531914903</v>
      </c>
      <c r="AM324" s="171">
        <f t="shared" si="220"/>
        <v>111.76470588235294</v>
      </c>
      <c r="AN324" s="165"/>
      <c r="AO324" s="193"/>
      <c r="AP324" s="193" t="e">
        <f t="shared" ca="1" si="208"/>
        <v>#NAME?</v>
      </c>
      <c r="AQ324" s="200">
        <f>AQ459+AQ1209+AQ1115+AQ1059</f>
        <v>6524.41</v>
      </c>
      <c r="AR324" s="204">
        <f>V324/R324*100</f>
        <v>257.19601619787676</v>
      </c>
      <c r="AS324" s="204">
        <f>W324/V324*100</f>
        <v>100</v>
      </c>
      <c r="AT324" s="204">
        <f>W324/R324*100</f>
        <v>257.19601619787676</v>
      </c>
      <c r="AU324" s="204">
        <f>AQ324/W324*100</f>
        <v>27.76344680851064</v>
      </c>
      <c r="AV324" s="204">
        <f>AQ324/W324*100</f>
        <v>27.76344680851064</v>
      </c>
    </row>
    <row r="325" spans="1:48" ht="12" customHeight="1">
      <c r="A325" s="53"/>
      <c r="B325" s="53"/>
      <c r="C325" s="53"/>
      <c r="D325" s="53"/>
      <c r="E325" s="53"/>
      <c r="F325" s="53"/>
      <c r="G325" s="53"/>
      <c r="H325" s="64">
        <v>4222</v>
      </c>
      <c r="I325" s="117"/>
      <c r="J325" s="118"/>
      <c r="K325" s="18" t="s">
        <v>304</v>
      </c>
      <c r="L325" s="130">
        <f t="shared" ref="L325:R326" si="258">L460</f>
        <v>0</v>
      </c>
      <c r="M325" s="130">
        <f t="shared" si="258"/>
        <v>0</v>
      </c>
      <c r="N325" s="131">
        <f t="shared" si="258"/>
        <v>0</v>
      </c>
      <c r="O325" s="131">
        <f t="shared" si="258"/>
        <v>0</v>
      </c>
      <c r="P325" s="132">
        <f t="shared" si="258"/>
        <v>0</v>
      </c>
      <c r="Q325" s="132">
        <f t="shared" si="258"/>
        <v>0</v>
      </c>
      <c r="R325" s="159">
        <f t="shared" si="258"/>
        <v>0</v>
      </c>
      <c r="S325" s="165" t="e">
        <f ca="1">S460</f>
        <v>#NAME?</v>
      </c>
      <c r="T325" s="165"/>
      <c r="U325" s="90" t="e">
        <f t="shared" ca="1" si="248"/>
        <v>#NAME?</v>
      </c>
      <c r="V325" s="200">
        <f>V460</f>
        <v>0</v>
      </c>
      <c r="W325" s="200">
        <f t="shared" ref="W325:Y326" si="259">W460</f>
        <v>0</v>
      </c>
      <c r="X325" s="159">
        <f t="shared" si="259"/>
        <v>0</v>
      </c>
      <c r="Y325" s="183">
        <f t="shared" si="259"/>
        <v>0</v>
      </c>
      <c r="Z325" s="183"/>
      <c r="AA325" s="183" t="e">
        <f t="shared" ref="AA325:AD326" ca="1" si="260">AA460</f>
        <v>#NAME?</v>
      </c>
      <c r="AB325" s="183">
        <f t="shared" si="260"/>
        <v>0</v>
      </c>
      <c r="AC325" s="178">
        <f t="shared" si="260"/>
        <v>0</v>
      </c>
      <c r="AD325" s="178">
        <f t="shared" si="260"/>
        <v>0</v>
      </c>
      <c r="AE325" s="178"/>
      <c r="AF325" s="178"/>
      <c r="AG325" s="178"/>
      <c r="AH325" s="178"/>
      <c r="AI325" s="183"/>
      <c r="AJ325" s="183">
        <v>0</v>
      </c>
      <c r="AK325" s="171"/>
      <c r="AL325" s="171"/>
      <c r="AM325" s="171"/>
      <c r="AN325" s="165"/>
      <c r="AO325" s="193"/>
      <c r="AP325" s="193" t="e">
        <f t="shared" ca="1" si="208"/>
        <v>#NAME?</v>
      </c>
      <c r="AQ325" s="200">
        <f>AQ460</f>
        <v>1226</v>
      </c>
      <c r="AR325" s="204"/>
      <c r="AS325" s="204"/>
      <c r="AT325" s="204"/>
      <c r="AU325" s="204"/>
      <c r="AV325" s="204"/>
    </row>
    <row r="326" spans="1:48" ht="12" customHeight="1">
      <c r="A326" s="53"/>
      <c r="B326" s="53"/>
      <c r="C326" s="53"/>
      <c r="D326" s="53"/>
      <c r="E326" s="53"/>
      <c r="F326" s="53"/>
      <c r="G326" s="53"/>
      <c r="H326" s="64">
        <v>4223</v>
      </c>
      <c r="I326" s="117"/>
      <c r="J326" s="118"/>
      <c r="K326" s="18" t="s">
        <v>305</v>
      </c>
      <c r="L326" s="130">
        <f t="shared" si="258"/>
        <v>9900</v>
      </c>
      <c r="M326" s="130">
        <f t="shared" si="258"/>
        <v>1313.9558033047979</v>
      </c>
      <c r="N326" s="131">
        <f t="shared" si="258"/>
        <v>5200</v>
      </c>
      <c r="O326" s="131">
        <f t="shared" si="258"/>
        <v>690.15860375605541</v>
      </c>
      <c r="P326" s="132">
        <f t="shared" si="258"/>
        <v>4000</v>
      </c>
      <c r="Q326" s="132">
        <f t="shared" si="258"/>
        <v>0</v>
      </c>
      <c r="R326" s="159">
        <f t="shared" si="258"/>
        <v>0</v>
      </c>
      <c r="S326" s="165">
        <f>S461</f>
        <v>17286</v>
      </c>
      <c r="T326" s="165"/>
      <c r="U326" s="90" t="e">
        <f t="shared" ca="1" si="248"/>
        <v>#NAME?</v>
      </c>
      <c r="V326" s="200">
        <f>V461</f>
        <v>22000</v>
      </c>
      <c r="W326" s="200">
        <f t="shared" si="259"/>
        <v>22000</v>
      </c>
      <c r="X326" s="159">
        <f t="shared" si="259"/>
        <v>6000</v>
      </c>
      <c r="Y326" s="183">
        <f t="shared" si="259"/>
        <v>5000</v>
      </c>
      <c r="Z326" s="183"/>
      <c r="AA326" s="183" t="e">
        <f t="shared" ca="1" si="260"/>
        <v>#NAME?</v>
      </c>
      <c r="AB326" s="183">
        <f t="shared" si="260"/>
        <v>0</v>
      </c>
      <c r="AC326" s="178">
        <f t="shared" si="260"/>
        <v>0</v>
      </c>
      <c r="AD326" s="178">
        <f t="shared" si="260"/>
        <v>0</v>
      </c>
      <c r="AE326" s="178">
        <f>O326/M326*100</f>
        <v>52.525252525252519</v>
      </c>
      <c r="AF326" s="178"/>
      <c r="AG326" s="178"/>
      <c r="AH326" s="178"/>
      <c r="AI326" s="183"/>
      <c r="AJ326" s="183">
        <v>5000</v>
      </c>
      <c r="AK326" s="171"/>
      <c r="AL326" s="171">
        <f t="shared" si="220"/>
        <v>27.27272727272727</v>
      </c>
      <c r="AM326" s="171">
        <f t="shared" si="220"/>
        <v>83.333333333333343</v>
      </c>
      <c r="AN326" s="165"/>
      <c r="AO326" s="193"/>
      <c r="AP326" s="193" t="e">
        <f t="shared" ref="AP326:AP349" ca="1" si="261">__xlfn.ISFORMULA(X326)</f>
        <v>#NAME?</v>
      </c>
      <c r="AQ326" s="200">
        <f>AQ461+AQ1116</f>
        <v>26778.76</v>
      </c>
      <c r="AR326" s="204"/>
      <c r="AS326" s="204"/>
      <c r="AT326" s="204"/>
      <c r="AU326" s="204">
        <f>AQ326/W326*100</f>
        <v>121.72163636363635</v>
      </c>
      <c r="AV326" s="204">
        <f>AQ326/W326*100</f>
        <v>121.72163636363635</v>
      </c>
    </row>
    <row r="327" spans="1:48" ht="12" customHeight="1">
      <c r="A327" s="53"/>
      <c r="B327" s="53"/>
      <c r="C327" s="53"/>
      <c r="D327" s="53"/>
      <c r="E327" s="53"/>
      <c r="F327" s="53"/>
      <c r="G327" s="53"/>
      <c r="H327" s="64">
        <v>4224</v>
      </c>
      <c r="I327" s="117"/>
      <c r="J327" s="118"/>
      <c r="K327" s="18" t="s">
        <v>306</v>
      </c>
      <c r="L327" s="130"/>
      <c r="M327" s="130"/>
      <c r="N327" s="131"/>
      <c r="O327" s="131"/>
      <c r="P327" s="132"/>
      <c r="Q327" s="132"/>
      <c r="R327" s="159"/>
      <c r="S327" s="165"/>
      <c r="T327" s="165"/>
      <c r="U327" s="90" t="e">
        <f t="shared" ca="1" si="248"/>
        <v>#NAME?</v>
      </c>
      <c r="V327" s="200"/>
      <c r="W327" s="200"/>
      <c r="X327" s="159"/>
      <c r="Y327" s="183"/>
      <c r="Z327" s="183"/>
      <c r="AA327" s="183"/>
      <c r="AB327" s="183"/>
      <c r="AC327" s="178"/>
      <c r="AD327" s="178"/>
      <c r="AE327" s="178"/>
      <c r="AF327" s="178"/>
      <c r="AG327" s="178"/>
      <c r="AH327" s="178"/>
      <c r="AI327" s="183"/>
      <c r="AJ327" s="183"/>
      <c r="AK327" s="171"/>
      <c r="AL327" s="171"/>
      <c r="AM327" s="171"/>
      <c r="AN327" s="165"/>
      <c r="AO327" s="193"/>
      <c r="AP327" s="193" t="e">
        <f t="shared" ca="1" si="261"/>
        <v>#NAME?</v>
      </c>
      <c r="AQ327" s="200">
        <f>AQ462</f>
        <v>2423.75</v>
      </c>
      <c r="AR327" s="204"/>
      <c r="AS327" s="204"/>
      <c r="AT327" s="204"/>
      <c r="AU327" s="204"/>
      <c r="AV327" s="204"/>
    </row>
    <row r="328" spans="1:48" ht="12" customHeight="1">
      <c r="A328" s="53"/>
      <c r="B328" s="53"/>
      <c r="C328" s="53"/>
      <c r="D328" s="53"/>
      <c r="E328" s="53"/>
      <c r="F328" s="53"/>
      <c r="G328" s="53"/>
      <c r="H328" s="64">
        <v>4227</v>
      </c>
      <c r="I328" s="117"/>
      <c r="J328" s="118"/>
      <c r="K328" s="18" t="s">
        <v>307</v>
      </c>
      <c r="L328" s="130">
        <f t="shared" ref="L328:S328" si="262">L463+L645+L704+L1060+L1210</f>
        <v>39308</v>
      </c>
      <c r="M328" s="130">
        <f t="shared" si="262"/>
        <v>5217.0681531621203</v>
      </c>
      <c r="N328" s="131">
        <f t="shared" si="262"/>
        <v>441321</v>
      </c>
      <c r="O328" s="131">
        <f t="shared" si="262"/>
        <v>58573.362532351188</v>
      </c>
      <c r="P328" s="132">
        <f t="shared" si="262"/>
        <v>22300</v>
      </c>
      <c r="Q328" s="132">
        <f t="shared" si="262"/>
        <v>18900</v>
      </c>
      <c r="R328" s="159">
        <f t="shared" si="262"/>
        <v>28554</v>
      </c>
      <c r="S328" s="165" t="e">
        <f t="shared" ca="1" si="262"/>
        <v>#NAME?</v>
      </c>
      <c r="T328" s="165"/>
      <c r="U328" s="90" t="e">
        <f t="shared" ca="1" si="248"/>
        <v>#NAME?</v>
      </c>
      <c r="V328" s="200">
        <f>V463+V645+V704+V1060+V1210</f>
        <v>37000</v>
      </c>
      <c r="W328" s="200">
        <f>W463+W645+W704+W1060+W1210</f>
        <v>37000</v>
      </c>
      <c r="X328" s="159">
        <f t="shared" ref="X328:AD328" si="263">X463+X645+X704+X1060+X1210</f>
        <v>39500</v>
      </c>
      <c r="Y328" s="183">
        <f t="shared" si="263"/>
        <v>43500.3</v>
      </c>
      <c r="Z328" s="183"/>
      <c r="AA328" s="183" t="e">
        <f t="shared" ca="1" si="263"/>
        <v>#NAME?</v>
      </c>
      <c r="AB328" s="183">
        <f t="shared" si="263"/>
        <v>0</v>
      </c>
      <c r="AC328" s="178">
        <f t="shared" si="263"/>
        <v>17500</v>
      </c>
      <c r="AD328" s="178">
        <f t="shared" si="263"/>
        <v>17500</v>
      </c>
      <c r="AE328" s="178"/>
      <c r="AF328" s="178">
        <f>P328/O328*100</f>
        <v>38.071913641091179</v>
      </c>
      <c r="AG328" s="178">
        <f>Q328/P328*100</f>
        <v>84.753363228699556</v>
      </c>
      <c r="AH328" s="178">
        <f>AC328/Q328*100</f>
        <v>92.592592592592595</v>
      </c>
      <c r="AI328" s="183"/>
      <c r="AJ328" s="183">
        <v>43500.3</v>
      </c>
      <c r="AK328" s="171">
        <f>W328/R328*100</f>
        <v>129.57904321636198</v>
      </c>
      <c r="AL328" s="171">
        <f t="shared" si="220"/>
        <v>106.75675675675676</v>
      </c>
      <c r="AM328" s="171">
        <f t="shared" si="220"/>
        <v>110.12734177215191</v>
      </c>
      <c r="AN328" s="165"/>
      <c r="AO328" s="193"/>
      <c r="AP328" s="193" t="e">
        <f t="shared" ca="1" si="261"/>
        <v>#NAME?</v>
      </c>
      <c r="AQ328" s="200">
        <f>AQ463+AQ645+AQ704+AQ1060+AQ1210+AQ1117</f>
        <v>32887.89</v>
      </c>
      <c r="AR328" s="204">
        <f>V328/R328*100</f>
        <v>129.57904321636198</v>
      </c>
      <c r="AS328" s="204">
        <f>W328/V328*100</f>
        <v>100</v>
      </c>
      <c r="AT328" s="204">
        <f>W328/R328*100</f>
        <v>129.57904321636198</v>
      </c>
      <c r="AU328" s="204">
        <f>AQ328/W328*100</f>
        <v>88.886189189189196</v>
      </c>
      <c r="AV328" s="204">
        <f>AQ328/W328*100</f>
        <v>88.886189189189196</v>
      </c>
    </row>
    <row r="329" spans="1:48" ht="12" customHeight="1">
      <c r="A329" s="42"/>
      <c r="B329" s="42"/>
      <c r="C329" s="42"/>
      <c r="D329" s="42"/>
      <c r="E329" s="42"/>
      <c r="F329" s="42"/>
      <c r="G329" s="42"/>
      <c r="H329" s="38"/>
      <c r="I329" s="73"/>
      <c r="J329" s="91"/>
      <c r="K329" s="84"/>
      <c r="L329" s="85"/>
      <c r="M329" s="85"/>
      <c r="N329" s="86"/>
      <c r="O329" s="86"/>
      <c r="P329" s="87"/>
      <c r="Q329" s="87"/>
      <c r="R329" s="160"/>
      <c r="S329" s="161"/>
      <c r="T329" s="161"/>
      <c r="U329" s="90" t="e">
        <f t="shared" ca="1" si="248"/>
        <v>#NAME?</v>
      </c>
      <c r="V329" s="200"/>
      <c r="W329" s="200"/>
      <c r="X329" s="162"/>
      <c r="Y329" s="181"/>
      <c r="Z329" s="181"/>
      <c r="AA329" s="181"/>
      <c r="AB329" s="181"/>
      <c r="AC329" s="182"/>
      <c r="AD329" s="182"/>
      <c r="AE329" s="178"/>
      <c r="AF329" s="178"/>
      <c r="AG329" s="178"/>
      <c r="AH329" s="178"/>
      <c r="AI329" s="181"/>
      <c r="AJ329" s="181"/>
      <c r="AK329" s="171"/>
      <c r="AL329" s="171"/>
      <c r="AM329" s="171"/>
      <c r="AN329" s="161"/>
      <c r="AO329" s="193"/>
      <c r="AP329" s="193" t="e">
        <f t="shared" ca="1" si="261"/>
        <v>#NAME?</v>
      </c>
      <c r="AQ329" s="200"/>
      <c r="AR329" s="204"/>
      <c r="AS329" s="204"/>
      <c r="AT329" s="204"/>
      <c r="AU329" s="204"/>
      <c r="AV329" s="204"/>
    </row>
    <row r="330" spans="1:48" ht="12" customHeight="1">
      <c r="A330" s="62"/>
      <c r="B330" s="62"/>
      <c r="C330" s="62"/>
      <c r="D330" s="62"/>
      <c r="E330" s="62"/>
      <c r="F330" s="62"/>
      <c r="G330" s="62"/>
      <c r="H330" s="63">
        <v>424</v>
      </c>
      <c r="I330" s="128"/>
      <c r="J330" s="129"/>
      <c r="K330" s="19" t="s">
        <v>308</v>
      </c>
      <c r="L330" s="112">
        <f t="shared" ref="L330:AD330" si="264">L331</f>
        <v>74189</v>
      </c>
      <c r="M330" s="112">
        <f t="shared" si="264"/>
        <v>9846.572433472691</v>
      </c>
      <c r="N330" s="113">
        <f t="shared" si="264"/>
        <v>71400</v>
      </c>
      <c r="O330" s="113">
        <f t="shared" si="264"/>
        <v>9476.4085208042998</v>
      </c>
      <c r="P330" s="114">
        <f t="shared" si="264"/>
        <v>10700</v>
      </c>
      <c r="Q330" s="114">
        <f t="shared" si="264"/>
        <v>10700</v>
      </c>
      <c r="R330" s="88">
        <f t="shared" si="264"/>
        <v>10215</v>
      </c>
      <c r="S330" s="90">
        <f t="shared" si="264"/>
        <v>0</v>
      </c>
      <c r="T330" s="90"/>
      <c r="U330" s="90" t="e">
        <f t="shared" ca="1" si="248"/>
        <v>#NAME?</v>
      </c>
      <c r="V330" s="200">
        <f>V331</f>
        <v>12000</v>
      </c>
      <c r="W330" s="200">
        <f t="shared" si="264"/>
        <v>12000</v>
      </c>
      <c r="X330" s="88">
        <f t="shared" si="264"/>
        <v>12000</v>
      </c>
      <c r="Y330" s="171">
        <f t="shared" si="264"/>
        <v>13000</v>
      </c>
      <c r="Z330" s="171"/>
      <c r="AA330" s="171" t="e">
        <f t="shared" ca="1" si="264"/>
        <v>#NAME?</v>
      </c>
      <c r="AB330" s="171">
        <f t="shared" si="264"/>
        <v>0</v>
      </c>
      <c r="AC330" s="172">
        <f t="shared" si="264"/>
        <v>11000</v>
      </c>
      <c r="AD330" s="172">
        <f t="shared" si="264"/>
        <v>11000</v>
      </c>
      <c r="AE330" s="178">
        <f>O330/M330*100</f>
        <v>96.24068258097563</v>
      </c>
      <c r="AF330" s="178">
        <f>P330/O330*100</f>
        <v>112.91197478991597</v>
      </c>
      <c r="AG330" s="178">
        <f>Q330/P330*100</f>
        <v>100</v>
      </c>
      <c r="AH330" s="178">
        <f>AC330/Q330*100</f>
        <v>102.803738317757</v>
      </c>
      <c r="AI330" s="171"/>
      <c r="AJ330" s="171">
        <v>13000</v>
      </c>
      <c r="AK330" s="171">
        <f>W330/R330*100</f>
        <v>117.47430249632893</v>
      </c>
      <c r="AL330" s="171">
        <f t="shared" si="220"/>
        <v>100</v>
      </c>
      <c r="AM330" s="171">
        <f t="shared" si="220"/>
        <v>108.33333333333333</v>
      </c>
      <c r="AN330" s="90"/>
      <c r="AO330" s="193"/>
      <c r="AP330" s="193" t="e">
        <f t="shared" ca="1" si="261"/>
        <v>#NAME?</v>
      </c>
      <c r="AQ330" s="200">
        <f>AQ331</f>
        <v>15613</v>
      </c>
      <c r="AR330" s="204">
        <f>V330/R330*100</f>
        <v>117.47430249632893</v>
      </c>
      <c r="AS330" s="204">
        <f>W330/V330*100</f>
        <v>100</v>
      </c>
      <c r="AT330" s="204">
        <f>W330/R330*100</f>
        <v>117.47430249632893</v>
      </c>
      <c r="AU330" s="204">
        <f>AQ330/W330*100</f>
        <v>130.10833333333335</v>
      </c>
      <c r="AV330" s="204">
        <f>AQ330/W330*100</f>
        <v>130.10833333333335</v>
      </c>
    </row>
    <row r="331" spans="1:48" ht="12" customHeight="1">
      <c r="A331" s="53"/>
      <c r="B331" s="53"/>
      <c r="C331" s="53"/>
      <c r="D331" s="53"/>
      <c r="E331" s="53"/>
      <c r="F331" s="53"/>
      <c r="G331" s="53"/>
      <c r="H331" s="64">
        <v>4241</v>
      </c>
      <c r="I331" s="117"/>
      <c r="J331" s="118"/>
      <c r="K331" s="18" t="s">
        <v>309</v>
      </c>
      <c r="L331" s="130">
        <f t="shared" ref="L331:S331" si="265">L1120</f>
        <v>74189</v>
      </c>
      <c r="M331" s="130">
        <f t="shared" si="265"/>
        <v>9846.572433472691</v>
      </c>
      <c r="N331" s="131">
        <f t="shared" si="265"/>
        <v>71400</v>
      </c>
      <c r="O331" s="131">
        <f t="shared" si="265"/>
        <v>9476.4085208042998</v>
      </c>
      <c r="P331" s="132">
        <f t="shared" si="265"/>
        <v>10700</v>
      </c>
      <c r="Q331" s="132">
        <f t="shared" si="265"/>
        <v>10700</v>
      </c>
      <c r="R331" s="159">
        <f t="shared" si="265"/>
        <v>10215</v>
      </c>
      <c r="S331" s="165">
        <f t="shared" si="265"/>
        <v>0</v>
      </c>
      <c r="T331" s="165"/>
      <c r="U331" s="90" t="e">
        <f t="shared" ca="1" si="248"/>
        <v>#NAME?</v>
      </c>
      <c r="V331" s="200">
        <f>V1120</f>
        <v>12000</v>
      </c>
      <c r="W331" s="200">
        <f>W1120</f>
        <v>12000</v>
      </c>
      <c r="X331" s="159">
        <f>X1120</f>
        <v>12000</v>
      </c>
      <c r="Y331" s="183">
        <f>Y1120</f>
        <v>13000</v>
      </c>
      <c r="Z331" s="183"/>
      <c r="AA331" s="183" t="e">
        <f ca="1">AA1120</f>
        <v>#NAME?</v>
      </c>
      <c r="AB331" s="183">
        <f>AB1120</f>
        <v>0</v>
      </c>
      <c r="AC331" s="178">
        <f>AC1120</f>
        <v>11000</v>
      </c>
      <c r="AD331" s="178">
        <f>AD1120</f>
        <v>11000</v>
      </c>
      <c r="AE331" s="178">
        <f>O331/M331*100</f>
        <v>96.24068258097563</v>
      </c>
      <c r="AF331" s="178">
        <f>P331/O331*100</f>
        <v>112.91197478991597</v>
      </c>
      <c r="AG331" s="178">
        <f>Q331/P331*100</f>
        <v>100</v>
      </c>
      <c r="AH331" s="178">
        <f>AC331/Q331*100</f>
        <v>102.803738317757</v>
      </c>
      <c r="AI331" s="183"/>
      <c r="AJ331" s="183">
        <v>13000</v>
      </c>
      <c r="AK331" s="171">
        <f>W331/R331*100</f>
        <v>117.47430249632893</v>
      </c>
      <c r="AL331" s="171">
        <f t="shared" si="220"/>
        <v>100</v>
      </c>
      <c r="AM331" s="171">
        <f t="shared" si="220"/>
        <v>108.33333333333333</v>
      </c>
      <c r="AN331" s="165"/>
      <c r="AO331" s="193"/>
      <c r="AP331" s="193" t="e">
        <f t="shared" ca="1" si="261"/>
        <v>#NAME?</v>
      </c>
      <c r="AQ331" s="200">
        <f>AQ1120</f>
        <v>15613</v>
      </c>
      <c r="AR331" s="204">
        <f>V331/R331*100</f>
        <v>117.47430249632893</v>
      </c>
      <c r="AS331" s="204">
        <f>W331/V331*100</f>
        <v>100</v>
      </c>
      <c r="AT331" s="204">
        <f>W331/R331*100</f>
        <v>117.47430249632893</v>
      </c>
      <c r="AU331" s="204">
        <f>AQ331/W331*100</f>
        <v>130.10833333333335</v>
      </c>
      <c r="AV331" s="204">
        <f>AQ331/W331*100</f>
        <v>130.10833333333335</v>
      </c>
    </row>
    <row r="332" spans="1:48" ht="12" customHeight="1">
      <c r="A332" s="42"/>
      <c r="B332" s="42"/>
      <c r="C332" s="42"/>
      <c r="D332" s="42"/>
      <c r="E332" s="42"/>
      <c r="F332" s="42"/>
      <c r="G332" s="42"/>
      <c r="H332" s="38"/>
      <c r="I332" s="73"/>
      <c r="J332" s="91"/>
      <c r="K332" s="84"/>
      <c r="L332" s="85"/>
      <c r="M332" s="85"/>
      <c r="N332" s="86"/>
      <c r="O332" s="86"/>
      <c r="P332" s="87"/>
      <c r="Q332" s="87"/>
      <c r="R332" s="160"/>
      <c r="S332" s="161"/>
      <c r="T332" s="161"/>
      <c r="U332" s="90" t="e">
        <f t="shared" ca="1" si="248"/>
        <v>#NAME?</v>
      </c>
      <c r="V332" s="200"/>
      <c r="W332" s="200"/>
      <c r="X332" s="162"/>
      <c r="Y332" s="181"/>
      <c r="Z332" s="181"/>
      <c r="AA332" s="181"/>
      <c r="AB332" s="181"/>
      <c r="AC332" s="182"/>
      <c r="AD332" s="182"/>
      <c r="AE332" s="178"/>
      <c r="AF332" s="178"/>
      <c r="AG332" s="178"/>
      <c r="AH332" s="178"/>
      <c r="AI332" s="181"/>
      <c r="AJ332" s="181"/>
      <c r="AK332" s="171"/>
      <c r="AL332" s="171"/>
      <c r="AM332" s="171"/>
      <c r="AN332" s="161"/>
      <c r="AO332" s="193"/>
      <c r="AP332" s="193" t="e">
        <f t="shared" ca="1" si="261"/>
        <v>#NAME?</v>
      </c>
      <c r="AQ332" s="200"/>
      <c r="AR332" s="204"/>
      <c r="AS332" s="204"/>
      <c r="AT332" s="204"/>
      <c r="AU332" s="204"/>
      <c r="AV332" s="204"/>
    </row>
    <row r="333" spans="1:48" ht="12" customHeight="1">
      <c r="A333" s="62"/>
      <c r="B333" s="62"/>
      <c r="C333" s="62"/>
      <c r="D333" s="62"/>
      <c r="E333" s="62"/>
      <c r="F333" s="62"/>
      <c r="G333" s="62"/>
      <c r="H333" s="63">
        <v>426</v>
      </c>
      <c r="I333" s="128"/>
      <c r="J333" s="129"/>
      <c r="K333" s="19" t="s">
        <v>310</v>
      </c>
      <c r="L333" s="112">
        <f t="shared" ref="L333:S333" si="266">L334+L335</f>
        <v>212932</v>
      </c>
      <c r="M333" s="112">
        <f t="shared" si="266"/>
        <v>28260.933041343153</v>
      </c>
      <c r="N333" s="113">
        <f t="shared" si="266"/>
        <v>339325</v>
      </c>
      <c r="O333" s="113">
        <f t="shared" si="266"/>
        <v>45036.166965292985</v>
      </c>
      <c r="P333" s="114">
        <f t="shared" si="266"/>
        <v>69200</v>
      </c>
      <c r="Q333" s="114">
        <f t="shared" si="266"/>
        <v>25700</v>
      </c>
      <c r="R333" s="88">
        <f t="shared" si="266"/>
        <v>19720</v>
      </c>
      <c r="S333" s="90" t="e">
        <f t="shared" ca="1" si="266"/>
        <v>#NAME?</v>
      </c>
      <c r="T333" s="90"/>
      <c r="U333" s="90" t="e">
        <f t="shared" ca="1" si="248"/>
        <v>#NAME?</v>
      </c>
      <c r="V333" s="200">
        <f>V334+V335</f>
        <v>54000</v>
      </c>
      <c r="W333" s="200">
        <f>W334+W335</f>
        <v>54000</v>
      </c>
      <c r="X333" s="88">
        <f>X334+X335</f>
        <v>20000</v>
      </c>
      <c r="Y333" s="171">
        <f>Y334+Y335</f>
        <v>56000</v>
      </c>
      <c r="Z333" s="171"/>
      <c r="AA333" s="171" t="e">
        <f ca="1">AA334+AA335</f>
        <v>#NAME?</v>
      </c>
      <c r="AB333" s="171">
        <f>AB334+AB335</f>
        <v>0</v>
      </c>
      <c r="AC333" s="172">
        <f>AC334+AC335</f>
        <v>54000</v>
      </c>
      <c r="AD333" s="172">
        <f>AD334+AD335</f>
        <v>54000</v>
      </c>
      <c r="AE333" s="178">
        <f>O333/M333*100</f>
        <v>159.35838671500761</v>
      </c>
      <c r="AF333" s="178">
        <f>P333/O333*100</f>
        <v>153.65428424077211</v>
      </c>
      <c r="AG333" s="178">
        <f>Q333/P333*100</f>
        <v>37.138728323699425</v>
      </c>
      <c r="AH333" s="178">
        <f>AC333/Q333*100</f>
        <v>210.11673151750975</v>
      </c>
      <c r="AI333" s="171"/>
      <c r="AJ333" s="171">
        <v>56000</v>
      </c>
      <c r="AK333" s="171">
        <f>W333/R333*100</f>
        <v>273.83367139959432</v>
      </c>
      <c r="AL333" s="171">
        <f t="shared" si="220"/>
        <v>37.037037037037038</v>
      </c>
      <c r="AM333" s="171">
        <f t="shared" si="220"/>
        <v>280</v>
      </c>
      <c r="AN333" s="90"/>
      <c r="AO333" s="193"/>
      <c r="AP333" s="193" t="e">
        <f t="shared" ca="1" si="261"/>
        <v>#NAME?</v>
      </c>
      <c r="AQ333" s="200">
        <f>AQ334+AQ335</f>
        <v>12477.1</v>
      </c>
      <c r="AR333" s="204">
        <f>V333/R333*100</f>
        <v>273.83367139959432</v>
      </c>
      <c r="AS333" s="204">
        <f>W333/V333*100</f>
        <v>100</v>
      </c>
      <c r="AT333" s="204">
        <f>W333/R333*100</f>
        <v>273.83367139959432</v>
      </c>
      <c r="AU333" s="204">
        <f>AQ333/W333*100</f>
        <v>23.105740740740739</v>
      </c>
      <c r="AV333" s="204">
        <f>AQ333/W333*100</f>
        <v>23.105740740740739</v>
      </c>
    </row>
    <row r="334" spans="1:48" ht="12" customHeight="1">
      <c r="A334" s="53"/>
      <c r="B334" s="53"/>
      <c r="C334" s="53"/>
      <c r="D334" s="53"/>
      <c r="E334" s="53"/>
      <c r="F334" s="53"/>
      <c r="G334" s="53"/>
      <c r="H334" s="64">
        <v>4262</v>
      </c>
      <c r="I334" s="117"/>
      <c r="J334" s="118"/>
      <c r="K334" s="18" t="s">
        <v>311</v>
      </c>
      <c r="L334" s="130">
        <f t="shared" ref="L334:S334" si="267">L466+L1212</f>
        <v>56250</v>
      </c>
      <c r="M334" s="130">
        <f t="shared" si="267"/>
        <v>7465.6579733227154</v>
      </c>
      <c r="N334" s="131">
        <f t="shared" si="267"/>
        <v>24325</v>
      </c>
      <c r="O334" s="131">
        <f t="shared" si="267"/>
        <v>3228.4823146857784</v>
      </c>
      <c r="P334" s="132">
        <f t="shared" si="267"/>
        <v>22700</v>
      </c>
      <c r="Q334" s="132">
        <f t="shared" si="267"/>
        <v>20700</v>
      </c>
      <c r="R334" s="159">
        <f t="shared" si="267"/>
        <v>19720</v>
      </c>
      <c r="S334" s="165" t="e">
        <f t="shared" ca="1" si="267"/>
        <v>#NAME?</v>
      </c>
      <c r="T334" s="165"/>
      <c r="U334" s="90" t="e">
        <f t="shared" ca="1" si="248"/>
        <v>#NAME?</v>
      </c>
      <c r="V334" s="200">
        <f>V466+V1212</f>
        <v>4000</v>
      </c>
      <c r="W334" s="200">
        <f>W466+W1212</f>
        <v>4000</v>
      </c>
      <c r="X334" s="159">
        <f t="shared" ref="X334:AD334" si="268">X466+X1212</f>
        <v>6000</v>
      </c>
      <c r="Y334" s="183">
        <f t="shared" si="268"/>
        <v>6000</v>
      </c>
      <c r="Z334" s="183"/>
      <c r="AA334" s="183" t="e">
        <f t="shared" ca="1" si="268"/>
        <v>#NAME?</v>
      </c>
      <c r="AB334" s="183">
        <f t="shared" si="268"/>
        <v>0</v>
      </c>
      <c r="AC334" s="178">
        <f t="shared" si="268"/>
        <v>7000</v>
      </c>
      <c r="AD334" s="178">
        <f t="shared" si="268"/>
        <v>7000</v>
      </c>
      <c r="AE334" s="178">
        <f>O334/M334*100</f>
        <v>43.24444444444444</v>
      </c>
      <c r="AF334" s="178"/>
      <c r="AG334" s="178"/>
      <c r="AH334" s="178"/>
      <c r="AI334" s="183"/>
      <c r="AJ334" s="183">
        <v>6000</v>
      </c>
      <c r="AK334" s="171">
        <f>W334/R334*100</f>
        <v>20.28397565922921</v>
      </c>
      <c r="AL334" s="171">
        <f t="shared" si="220"/>
        <v>150</v>
      </c>
      <c r="AM334" s="171">
        <f t="shared" si="220"/>
        <v>100</v>
      </c>
      <c r="AN334" s="165"/>
      <c r="AO334" s="193"/>
      <c r="AP334" s="193" t="e">
        <f t="shared" ca="1" si="261"/>
        <v>#NAME?</v>
      </c>
      <c r="AQ334" s="200">
        <f>AQ466+AQ1212</f>
        <v>0</v>
      </c>
      <c r="AR334" s="204">
        <f>V334/R334*100</f>
        <v>20.28397565922921</v>
      </c>
      <c r="AS334" s="204">
        <f>W334/V334*100</f>
        <v>100</v>
      </c>
      <c r="AT334" s="204">
        <f>W334/R334*100</f>
        <v>20.28397565922921</v>
      </c>
      <c r="AU334" s="204">
        <f>AQ334/W334*100</f>
        <v>0</v>
      </c>
      <c r="AV334" s="204">
        <f>AQ334/W334*100</f>
        <v>0</v>
      </c>
    </row>
    <row r="335" spans="1:48" ht="12" customHeight="1">
      <c r="A335" s="53"/>
      <c r="B335" s="53"/>
      <c r="C335" s="53"/>
      <c r="D335" s="53"/>
      <c r="E335" s="53"/>
      <c r="F335" s="53"/>
      <c r="G335" s="53"/>
      <c r="H335" s="64">
        <v>4263</v>
      </c>
      <c r="I335" s="117"/>
      <c r="J335" s="118"/>
      <c r="K335" s="18" t="s">
        <v>312</v>
      </c>
      <c r="L335" s="130">
        <f>L652+L666</f>
        <v>156682</v>
      </c>
      <c r="M335" s="130">
        <f>M652+M666</f>
        <v>20795.275068020437</v>
      </c>
      <c r="N335" s="131">
        <f t="shared" ref="N335:S335" si="269">N666</f>
        <v>315000</v>
      </c>
      <c r="O335" s="131">
        <f t="shared" si="269"/>
        <v>41807.684650607203</v>
      </c>
      <c r="P335" s="132">
        <f t="shared" si="269"/>
        <v>46500</v>
      </c>
      <c r="Q335" s="132">
        <f t="shared" si="269"/>
        <v>5000</v>
      </c>
      <c r="R335" s="159">
        <f t="shared" si="269"/>
        <v>0</v>
      </c>
      <c r="S335" s="165" t="e">
        <f t="shared" ca="1" si="269"/>
        <v>#NAME?</v>
      </c>
      <c r="T335" s="165"/>
      <c r="U335" s="90" t="e">
        <f t="shared" ca="1" si="248"/>
        <v>#NAME?</v>
      </c>
      <c r="V335" s="200">
        <f>V666</f>
        <v>50000</v>
      </c>
      <c r="W335" s="200">
        <f>W666</f>
        <v>50000</v>
      </c>
      <c r="X335" s="159">
        <f>X666</f>
        <v>14000</v>
      </c>
      <c r="Y335" s="183">
        <f>Y666</f>
        <v>50000</v>
      </c>
      <c r="Z335" s="183"/>
      <c r="AA335" s="183" t="e">
        <f ca="1">AA666</f>
        <v>#NAME?</v>
      </c>
      <c r="AB335" s="183">
        <f>AB666</f>
        <v>0</v>
      </c>
      <c r="AC335" s="178">
        <f>AC652+AC666</f>
        <v>47000</v>
      </c>
      <c r="AD335" s="178">
        <f>AD652+AD666</f>
        <v>47000</v>
      </c>
      <c r="AE335" s="178">
        <f>O335/M335*100</f>
        <v>201.04415312543878</v>
      </c>
      <c r="AF335" s="178">
        <f>P335/O335*100</f>
        <v>111.22357142857145</v>
      </c>
      <c r="AG335" s="178">
        <f>Q335/P335*100</f>
        <v>10.75268817204301</v>
      </c>
      <c r="AH335" s="178">
        <f>AC335/Q335*100</f>
        <v>940</v>
      </c>
      <c r="AI335" s="183"/>
      <c r="AJ335" s="183">
        <v>50000</v>
      </c>
      <c r="AK335" s="171"/>
      <c r="AL335" s="171">
        <f t="shared" si="220"/>
        <v>28.000000000000004</v>
      </c>
      <c r="AM335" s="171">
        <f t="shared" si="220"/>
        <v>357.14285714285717</v>
      </c>
      <c r="AN335" s="165"/>
      <c r="AO335" s="193"/>
      <c r="AP335" s="193" t="e">
        <f t="shared" ca="1" si="261"/>
        <v>#NAME?</v>
      </c>
      <c r="AQ335" s="200">
        <f>AQ666</f>
        <v>12477.1</v>
      </c>
      <c r="AR335" s="204"/>
      <c r="AS335" s="204">
        <f>W335/V335*100</f>
        <v>100</v>
      </c>
      <c r="AT335" s="204"/>
      <c r="AU335" s="204">
        <f>AQ335/W335*100</f>
        <v>24.9542</v>
      </c>
      <c r="AV335" s="204">
        <f>AQ335/W335*100</f>
        <v>24.9542</v>
      </c>
    </row>
    <row r="336" spans="1:48" ht="12" customHeight="1">
      <c r="A336" s="53"/>
      <c r="B336" s="53"/>
      <c r="C336" s="53"/>
      <c r="D336" s="53"/>
      <c r="E336" s="53"/>
      <c r="F336" s="53"/>
      <c r="G336" s="53"/>
      <c r="H336" s="64"/>
      <c r="I336" s="117"/>
      <c r="J336" s="118"/>
      <c r="K336" s="18"/>
      <c r="L336" s="130"/>
      <c r="M336" s="130"/>
      <c r="N336" s="131"/>
      <c r="O336" s="131"/>
      <c r="P336" s="132"/>
      <c r="Q336" s="132"/>
      <c r="R336" s="159"/>
      <c r="S336" s="165"/>
      <c r="T336" s="165"/>
      <c r="U336" s="90" t="e">
        <f t="shared" ca="1" si="248"/>
        <v>#NAME?</v>
      </c>
      <c r="V336" s="200"/>
      <c r="W336" s="200"/>
      <c r="X336" s="159"/>
      <c r="Y336" s="183"/>
      <c r="Z336" s="183"/>
      <c r="AA336" s="183"/>
      <c r="AB336" s="183"/>
      <c r="AC336" s="178"/>
      <c r="AD336" s="178"/>
      <c r="AE336" s="178"/>
      <c r="AF336" s="178"/>
      <c r="AG336" s="178"/>
      <c r="AH336" s="178"/>
      <c r="AI336" s="183"/>
      <c r="AJ336" s="183"/>
      <c r="AK336" s="171"/>
      <c r="AL336" s="171"/>
      <c r="AM336" s="171"/>
      <c r="AN336" s="165"/>
      <c r="AO336" s="193"/>
      <c r="AP336" s="193" t="e">
        <f t="shared" ca="1" si="261"/>
        <v>#NAME?</v>
      </c>
      <c r="AQ336" s="200"/>
      <c r="AR336" s="204"/>
      <c r="AS336" s="204"/>
      <c r="AT336" s="204"/>
      <c r="AU336" s="204"/>
      <c r="AV336" s="204"/>
    </row>
    <row r="337" spans="1:48" ht="12" customHeight="1">
      <c r="A337" s="59"/>
      <c r="B337" s="59"/>
      <c r="C337" s="59"/>
      <c r="D337" s="59"/>
      <c r="E337" s="59"/>
      <c r="F337" s="59"/>
      <c r="G337" s="59"/>
      <c r="H337" s="60">
        <v>45</v>
      </c>
      <c r="I337" s="125"/>
      <c r="J337" s="126"/>
      <c r="K337" s="127" t="s">
        <v>313</v>
      </c>
      <c r="L337" s="112">
        <f t="shared" ref="L337:S337" si="270">L339</f>
        <v>2476635</v>
      </c>
      <c r="M337" s="112">
        <f t="shared" si="270"/>
        <v>328705.95261795737</v>
      </c>
      <c r="N337" s="113">
        <f t="shared" si="270"/>
        <v>622963</v>
      </c>
      <c r="O337" s="113">
        <f t="shared" si="270"/>
        <v>82681.398898400686</v>
      </c>
      <c r="P337" s="114">
        <f t="shared" si="270"/>
        <v>0</v>
      </c>
      <c r="Q337" s="114">
        <f t="shared" si="270"/>
        <v>23360</v>
      </c>
      <c r="R337" s="88">
        <f t="shared" si="270"/>
        <v>25870</v>
      </c>
      <c r="S337" s="90">
        <f t="shared" si="270"/>
        <v>0</v>
      </c>
      <c r="T337" s="90"/>
      <c r="U337" s="90" t="e">
        <f t="shared" ca="1" si="248"/>
        <v>#NAME?</v>
      </c>
      <c r="V337" s="200">
        <f>V339</f>
        <v>0</v>
      </c>
      <c r="W337" s="200">
        <f>W339</f>
        <v>0</v>
      </c>
      <c r="X337" s="88">
        <f>X339</f>
        <v>150000</v>
      </c>
      <c r="Y337" s="171">
        <f>Y339</f>
        <v>300000</v>
      </c>
      <c r="Z337" s="171"/>
      <c r="AA337" s="171" t="e">
        <f ca="1">AA339</f>
        <v>#NAME?</v>
      </c>
      <c r="AB337" s="171">
        <f>AB339</f>
        <v>0</v>
      </c>
      <c r="AC337" s="172">
        <f>AC339</f>
        <v>0</v>
      </c>
      <c r="AD337" s="172">
        <f>AD339</f>
        <v>0</v>
      </c>
      <c r="AE337" s="178">
        <f>O337/M337*100</f>
        <v>25.153605597918144</v>
      </c>
      <c r="AF337" s="178">
        <f>P337/O337*100</f>
        <v>0</v>
      </c>
      <c r="AG337" s="178"/>
      <c r="AH337" s="178"/>
      <c r="AI337" s="171"/>
      <c r="AJ337" s="171">
        <v>300000</v>
      </c>
      <c r="AK337" s="171">
        <f>W337/R337*100</f>
        <v>0</v>
      </c>
      <c r="AL337" s="171"/>
      <c r="AM337" s="171">
        <f>Y337/X337*100</f>
        <v>200</v>
      </c>
      <c r="AN337" s="90"/>
      <c r="AO337" s="193"/>
      <c r="AP337" s="193" t="e">
        <f t="shared" ca="1" si="261"/>
        <v>#NAME?</v>
      </c>
      <c r="AQ337" s="200">
        <f>AQ339</f>
        <v>0</v>
      </c>
      <c r="AR337" s="204">
        <f>V337/R337*100</f>
        <v>0</v>
      </c>
      <c r="AS337" s="204" t="e">
        <f>W337/V337*100</f>
        <v>#DIV/0!</v>
      </c>
      <c r="AT337" s="204">
        <f>W337/R337*100</f>
        <v>0</v>
      </c>
      <c r="AU337" s="204"/>
      <c r="AV337" s="204"/>
    </row>
    <row r="338" spans="1:48" ht="12" customHeight="1">
      <c r="A338" s="53"/>
      <c r="B338" s="53"/>
      <c r="C338" s="53"/>
      <c r="D338" s="53"/>
      <c r="E338" s="53"/>
      <c r="F338" s="53"/>
      <c r="G338" s="53"/>
      <c r="H338" s="64"/>
      <c r="I338" s="117"/>
      <c r="J338" s="118"/>
      <c r="K338" s="18"/>
      <c r="L338" s="130"/>
      <c r="M338" s="130"/>
      <c r="N338" s="131"/>
      <c r="O338" s="131"/>
      <c r="P338" s="132"/>
      <c r="Q338" s="132"/>
      <c r="R338" s="159"/>
      <c r="S338" s="165"/>
      <c r="T338" s="165"/>
      <c r="U338" s="90" t="e">
        <f t="shared" ca="1" si="248"/>
        <v>#NAME?</v>
      </c>
      <c r="V338" s="200"/>
      <c r="W338" s="200"/>
      <c r="X338" s="159"/>
      <c r="Y338" s="183"/>
      <c r="Z338" s="183"/>
      <c r="AA338" s="183"/>
      <c r="AB338" s="183"/>
      <c r="AC338" s="178"/>
      <c r="AD338" s="178"/>
      <c r="AE338" s="178"/>
      <c r="AF338" s="178"/>
      <c r="AG338" s="178"/>
      <c r="AH338" s="178"/>
      <c r="AI338" s="183"/>
      <c r="AJ338" s="183"/>
      <c r="AK338" s="171"/>
      <c r="AL338" s="171"/>
      <c r="AM338" s="171"/>
      <c r="AN338" s="165"/>
      <c r="AO338" s="193"/>
      <c r="AP338" s="193" t="e">
        <f t="shared" ca="1" si="261"/>
        <v>#NAME?</v>
      </c>
      <c r="AQ338" s="200"/>
      <c r="AR338" s="204"/>
      <c r="AS338" s="204"/>
      <c r="AT338" s="204"/>
      <c r="AU338" s="204"/>
      <c r="AV338" s="204"/>
    </row>
    <row r="339" spans="1:48" ht="12" customHeight="1">
      <c r="A339" s="62"/>
      <c r="B339" s="62"/>
      <c r="C339" s="62"/>
      <c r="D339" s="62"/>
      <c r="E339" s="62"/>
      <c r="F339" s="62"/>
      <c r="G339" s="62"/>
      <c r="H339" s="63">
        <v>451</v>
      </c>
      <c r="I339" s="128"/>
      <c r="J339" s="129"/>
      <c r="K339" s="310" t="s">
        <v>314</v>
      </c>
      <c r="L339" s="311">
        <f t="shared" ref="L339:AD339" si="271">L340</f>
        <v>2476635</v>
      </c>
      <c r="M339" s="311">
        <f t="shared" si="271"/>
        <v>328705.95261795737</v>
      </c>
      <c r="N339" s="312">
        <f t="shared" si="271"/>
        <v>622963</v>
      </c>
      <c r="O339" s="312">
        <f t="shared" si="271"/>
        <v>82681.398898400686</v>
      </c>
      <c r="P339" s="313">
        <f t="shared" si="271"/>
        <v>0</v>
      </c>
      <c r="Q339" s="313">
        <f t="shared" si="271"/>
        <v>23360</v>
      </c>
      <c r="R339" s="96">
        <f t="shared" si="271"/>
        <v>25870</v>
      </c>
      <c r="S339" s="98">
        <f t="shared" si="271"/>
        <v>0</v>
      </c>
      <c r="T339" s="98"/>
      <c r="U339" s="98" t="e">
        <f t="shared" ca="1" si="248"/>
        <v>#NAME?</v>
      </c>
      <c r="V339" s="200">
        <f>V340</f>
        <v>0</v>
      </c>
      <c r="W339" s="200">
        <f t="shared" si="271"/>
        <v>0</v>
      </c>
      <c r="X339" s="96">
        <f t="shared" si="271"/>
        <v>150000</v>
      </c>
      <c r="Y339" s="173">
        <f t="shared" si="271"/>
        <v>300000</v>
      </c>
      <c r="Z339" s="173"/>
      <c r="AA339" s="173" t="e">
        <f t="shared" ca="1" si="271"/>
        <v>#NAME?</v>
      </c>
      <c r="AB339" s="173">
        <f t="shared" si="271"/>
        <v>0</v>
      </c>
      <c r="AC339" s="174">
        <f t="shared" si="271"/>
        <v>0</v>
      </c>
      <c r="AD339" s="174">
        <f t="shared" si="271"/>
        <v>0</v>
      </c>
      <c r="AE339" s="366">
        <f>O339/M339*100</f>
        <v>25.153605597918144</v>
      </c>
      <c r="AF339" s="366">
        <f>P339/O339*100</f>
        <v>0</v>
      </c>
      <c r="AG339" s="366"/>
      <c r="AH339" s="366"/>
      <c r="AI339" s="173"/>
      <c r="AJ339" s="173">
        <v>300000</v>
      </c>
      <c r="AK339" s="173">
        <f>W339/R339*100</f>
        <v>0</v>
      </c>
      <c r="AL339" s="173"/>
      <c r="AM339" s="173">
        <f>Y339/X339*100</f>
        <v>200</v>
      </c>
      <c r="AN339" s="98"/>
      <c r="AO339" s="193"/>
      <c r="AP339" s="193" t="e">
        <f t="shared" ca="1" si="261"/>
        <v>#NAME?</v>
      </c>
      <c r="AQ339" s="200">
        <f>AQ340</f>
        <v>0</v>
      </c>
      <c r="AR339" s="204">
        <f>V339/R339*100</f>
        <v>0</v>
      </c>
      <c r="AS339" s="204" t="e">
        <f>W339/V339*100</f>
        <v>#DIV/0!</v>
      </c>
      <c r="AT339" s="204">
        <f>W339/R339*100</f>
        <v>0</v>
      </c>
      <c r="AU339" s="204"/>
      <c r="AV339" s="204"/>
    </row>
    <row r="340" spans="1:48" ht="12" customHeight="1">
      <c r="A340" s="53"/>
      <c r="B340" s="53"/>
      <c r="C340" s="53"/>
      <c r="D340" s="53"/>
      <c r="E340" s="53"/>
      <c r="F340" s="53"/>
      <c r="G340" s="53"/>
      <c r="H340" s="64">
        <v>4511</v>
      </c>
      <c r="I340" s="117"/>
      <c r="J340" s="118"/>
      <c r="K340" s="18" t="s">
        <v>314</v>
      </c>
      <c r="L340" s="130">
        <f t="shared" ref="L340:S340" si="272">L1124+L1219</f>
        <v>2476635</v>
      </c>
      <c r="M340" s="130">
        <f t="shared" si="272"/>
        <v>328705.95261795737</v>
      </c>
      <c r="N340" s="131">
        <f t="shared" si="272"/>
        <v>622963</v>
      </c>
      <c r="O340" s="131">
        <f t="shared" si="272"/>
        <v>82681.398898400686</v>
      </c>
      <c r="P340" s="132">
        <f t="shared" si="272"/>
        <v>0</v>
      </c>
      <c r="Q340" s="132">
        <f t="shared" si="272"/>
        <v>23360</v>
      </c>
      <c r="R340" s="159">
        <f t="shared" si="272"/>
        <v>25870</v>
      </c>
      <c r="S340" s="165">
        <f t="shared" si="272"/>
        <v>0</v>
      </c>
      <c r="T340" s="165"/>
      <c r="U340" s="90" t="e">
        <f t="shared" ca="1" si="248"/>
        <v>#NAME?</v>
      </c>
      <c r="V340" s="200">
        <f>V1124+V1219</f>
        <v>0</v>
      </c>
      <c r="W340" s="200">
        <f>W1124+W1219</f>
        <v>0</v>
      </c>
      <c r="X340" s="159">
        <f>X1124+X1219+X1220+X1221</f>
        <v>150000</v>
      </c>
      <c r="Y340" s="183">
        <f>Y1124+Y1219+Y1220+Y1221</f>
        <v>300000</v>
      </c>
      <c r="Z340" s="183"/>
      <c r="AA340" s="183" t="e">
        <f ca="1">AA1124+AA1219</f>
        <v>#NAME?</v>
      </c>
      <c r="AB340" s="183">
        <f>AB1124+AB1219</f>
        <v>0</v>
      </c>
      <c r="AC340" s="178">
        <f>AC1124+AC1219</f>
        <v>0</v>
      </c>
      <c r="AD340" s="178">
        <f>AD1124+AD1219</f>
        <v>0</v>
      </c>
      <c r="AE340" s="178">
        <f>O340/M340*100</f>
        <v>25.153605597918144</v>
      </c>
      <c r="AF340" s="178">
        <f>P340/O340*100</f>
        <v>0</v>
      </c>
      <c r="AG340" s="178"/>
      <c r="AH340" s="178"/>
      <c r="AI340" s="183"/>
      <c r="AJ340" s="183">
        <v>300000</v>
      </c>
      <c r="AK340" s="171">
        <f>W340/R340*100</f>
        <v>0</v>
      </c>
      <c r="AL340" s="171"/>
      <c r="AM340" s="171">
        <f>Y340/X340*100</f>
        <v>200</v>
      </c>
      <c r="AN340" s="165"/>
      <c r="AO340" s="196"/>
      <c r="AP340" s="196" t="e">
        <f t="shared" ca="1" si="261"/>
        <v>#NAME?</v>
      </c>
      <c r="AQ340" s="200">
        <f>AQ1124+AQ1219+AQ1220+AQ1221</f>
        <v>0</v>
      </c>
      <c r="AR340" s="204">
        <f>V340/R340*100</f>
        <v>0</v>
      </c>
      <c r="AS340" s="204" t="e">
        <f>W340/V340*100</f>
        <v>#DIV/0!</v>
      </c>
      <c r="AT340" s="204">
        <f>W340/R340*100</f>
        <v>0</v>
      </c>
      <c r="AU340" s="204"/>
      <c r="AV340" s="204"/>
    </row>
    <row r="341" spans="1:48" ht="12" customHeight="1">
      <c r="A341" s="283"/>
      <c r="B341" s="283"/>
      <c r="C341" s="283"/>
      <c r="D341" s="283"/>
      <c r="E341" s="283"/>
      <c r="F341" s="283"/>
      <c r="G341" s="283"/>
      <c r="H341" s="284"/>
      <c r="I341" s="314"/>
      <c r="J341" s="284"/>
      <c r="K341" s="102"/>
      <c r="L341" s="315"/>
      <c r="M341" s="315"/>
      <c r="N341" s="315"/>
      <c r="O341" s="315"/>
      <c r="P341" s="315"/>
      <c r="Q341" s="315"/>
      <c r="R341" s="315"/>
      <c r="S341" s="315"/>
      <c r="T341" s="315"/>
      <c r="U341" s="315"/>
      <c r="V341" s="315"/>
      <c r="W341" s="315"/>
      <c r="X341" s="143"/>
      <c r="Y341" s="367"/>
      <c r="Z341" s="367"/>
      <c r="AA341" s="367"/>
      <c r="AB341" s="367"/>
      <c r="AC341" s="368"/>
      <c r="AD341" s="368"/>
      <c r="AE341" s="368"/>
      <c r="AF341" s="368"/>
      <c r="AG341" s="368"/>
      <c r="AH341" s="368"/>
      <c r="AI341" s="367"/>
      <c r="AJ341" s="367"/>
      <c r="AK341" s="175"/>
      <c r="AL341" s="175"/>
      <c r="AM341" s="175"/>
      <c r="AN341" s="315"/>
      <c r="AO341" s="385"/>
      <c r="AP341" t="e">
        <f t="shared" ca="1" si="261"/>
        <v>#NAME?</v>
      </c>
      <c r="AQ341" s="315"/>
      <c r="AR341" s="33"/>
      <c r="AS341" s="33"/>
      <c r="AT341" s="33"/>
      <c r="AU341" s="33"/>
      <c r="AV341" s="33"/>
    </row>
    <row r="342" spans="1:48" ht="12" customHeight="1">
      <c r="A342" s="283"/>
      <c r="B342" s="283"/>
      <c r="C342" s="283"/>
      <c r="D342" s="283"/>
      <c r="E342" s="283"/>
      <c r="F342" s="283"/>
      <c r="G342" s="283"/>
      <c r="H342" s="284"/>
      <c r="I342" s="314"/>
      <c r="J342" s="284"/>
      <c r="K342" s="102"/>
      <c r="L342" s="315"/>
      <c r="M342" s="315"/>
      <c r="N342" s="315"/>
      <c r="O342" s="315"/>
      <c r="P342" s="315"/>
      <c r="Q342" s="315"/>
      <c r="R342" s="315"/>
      <c r="S342" s="315"/>
      <c r="T342" s="315"/>
      <c r="U342" s="315"/>
      <c r="V342" s="315"/>
      <c r="W342" s="315"/>
      <c r="X342" s="143"/>
      <c r="Y342" s="367"/>
      <c r="Z342" s="367"/>
      <c r="AA342" s="367"/>
      <c r="AB342" s="367"/>
      <c r="AC342" s="368"/>
      <c r="AD342" s="368"/>
      <c r="AE342" s="368"/>
      <c r="AF342" s="368"/>
      <c r="AG342" s="368"/>
      <c r="AH342" s="368"/>
      <c r="AI342" s="367"/>
      <c r="AJ342" s="367"/>
      <c r="AK342" s="175"/>
      <c r="AL342" s="175"/>
      <c r="AM342" s="175"/>
      <c r="AN342" s="315"/>
      <c r="AO342" s="385"/>
      <c r="AP342" t="e">
        <f t="shared" ca="1" si="261"/>
        <v>#NAME?</v>
      </c>
      <c r="AQ342" s="315"/>
      <c r="AR342" s="33"/>
      <c r="AS342" s="33"/>
      <c r="AT342" s="33"/>
      <c r="AU342" s="33"/>
      <c r="AV342" s="33"/>
    </row>
    <row r="343" spans="1:48" ht="12" customHeight="1">
      <c r="A343" s="283"/>
      <c r="B343" s="283"/>
      <c r="C343" s="283"/>
      <c r="D343" s="283"/>
      <c r="E343" s="283"/>
      <c r="F343" s="283"/>
      <c r="G343" s="283"/>
      <c r="H343" s="284"/>
      <c r="I343" s="314"/>
      <c r="J343" s="284"/>
      <c r="K343" s="102"/>
      <c r="L343" s="315"/>
      <c r="M343" s="315"/>
      <c r="N343" s="315"/>
      <c r="O343" s="315"/>
      <c r="P343" s="315"/>
      <c r="Q343" s="315"/>
      <c r="R343" s="315"/>
      <c r="S343" s="315"/>
      <c r="T343" s="315"/>
      <c r="U343" s="315"/>
      <c r="V343" s="315"/>
      <c r="W343" s="315"/>
      <c r="X343" s="143"/>
      <c r="Y343" s="367"/>
      <c r="Z343" s="367"/>
      <c r="AA343" s="367"/>
      <c r="AB343" s="367"/>
      <c r="AC343" s="368"/>
      <c r="AD343" s="368"/>
      <c r="AE343" s="368"/>
      <c r="AF343" s="368"/>
      <c r="AG343" s="368"/>
      <c r="AH343" s="368"/>
      <c r="AI343" s="367"/>
      <c r="AJ343" s="367"/>
      <c r="AK343" s="175"/>
      <c r="AL343" s="175"/>
      <c r="AM343" s="175"/>
      <c r="AN343" s="315"/>
      <c r="AO343" s="385"/>
      <c r="AP343" t="e">
        <f t="shared" ca="1" si="261"/>
        <v>#NAME?</v>
      </c>
      <c r="AQ343" s="315"/>
      <c r="AR343" s="33"/>
      <c r="AS343" s="33"/>
      <c r="AT343" s="33"/>
      <c r="AU343" s="33"/>
      <c r="AV343" s="33"/>
    </row>
    <row r="344" spans="1:48" ht="12" customHeight="1">
      <c r="A344" s="283"/>
      <c r="B344" s="283"/>
      <c r="C344" s="283"/>
      <c r="D344" s="283"/>
      <c r="E344" s="283"/>
      <c r="F344" s="283"/>
      <c r="G344" s="283"/>
      <c r="H344" s="284"/>
      <c r="I344" s="314"/>
      <c r="J344" s="284"/>
      <c r="K344" s="102"/>
      <c r="L344" s="315"/>
      <c r="M344" s="315"/>
      <c r="N344" s="315"/>
      <c r="O344" s="315"/>
      <c r="P344" s="315"/>
      <c r="Q344" s="315"/>
      <c r="R344" s="315"/>
      <c r="S344" s="315"/>
      <c r="T344" s="315"/>
      <c r="U344" s="315"/>
      <c r="V344" s="315"/>
      <c r="W344" s="315"/>
      <c r="X344" s="143"/>
      <c r="Y344" s="367"/>
      <c r="Z344" s="367"/>
      <c r="AA344" s="367"/>
      <c r="AB344" s="367"/>
      <c r="AC344" s="368"/>
      <c r="AD344" s="368"/>
      <c r="AE344" s="368"/>
      <c r="AF344" s="368"/>
      <c r="AG344" s="368"/>
      <c r="AH344" s="368"/>
      <c r="AI344" s="367"/>
      <c r="AJ344" s="367"/>
      <c r="AK344" s="175"/>
      <c r="AL344" s="175"/>
      <c r="AM344" s="175"/>
      <c r="AN344" s="315"/>
      <c r="AO344" s="385"/>
      <c r="AP344" t="e">
        <f t="shared" ca="1" si="261"/>
        <v>#NAME?</v>
      </c>
      <c r="AQ344" s="315"/>
      <c r="AR344" s="33"/>
      <c r="AS344" s="33"/>
      <c r="AT344" s="33"/>
      <c r="AU344" s="33"/>
      <c r="AV344" s="33"/>
    </row>
    <row r="345" spans="1:48" ht="12" customHeight="1">
      <c r="A345" s="283"/>
      <c r="B345" s="283"/>
      <c r="C345" s="283"/>
      <c r="D345" s="283"/>
      <c r="E345" s="283"/>
      <c r="F345" s="283"/>
      <c r="G345" s="283"/>
      <c r="H345" s="284"/>
      <c r="I345" s="314"/>
      <c r="J345" s="284"/>
      <c r="K345" s="102"/>
      <c r="L345" s="315"/>
      <c r="M345" s="315"/>
      <c r="N345" s="315"/>
      <c r="O345" s="315"/>
      <c r="P345" s="315"/>
      <c r="Q345" s="315"/>
      <c r="R345" s="315"/>
      <c r="S345" s="315"/>
      <c r="T345" s="315"/>
      <c r="U345" s="315"/>
      <c r="V345" s="315"/>
      <c r="W345" s="315"/>
      <c r="X345" s="143"/>
      <c r="Y345" s="367"/>
      <c r="Z345" s="367"/>
      <c r="AA345" s="367"/>
      <c r="AB345" s="367"/>
      <c r="AC345" s="368"/>
      <c r="AD345" s="368"/>
      <c r="AE345" s="368"/>
      <c r="AF345" s="368"/>
      <c r="AG345" s="368"/>
      <c r="AH345" s="368"/>
      <c r="AI345" s="367"/>
      <c r="AJ345" s="367"/>
      <c r="AK345" s="175"/>
      <c r="AL345" s="175"/>
      <c r="AM345" s="175"/>
      <c r="AN345" s="315"/>
      <c r="AO345" s="385"/>
      <c r="AP345" t="e">
        <f t="shared" ca="1" si="261"/>
        <v>#NAME?</v>
      </c>
      <c r="AQ345" s="315"/>
      <c r="AR345" s="33"/>
      <c r="AS345" s="33"/>
      <c r="AT345" s="33"/>
      <c r="AU345" s="33"/>
      <c r="AV345" s="33"/>
    </row>
    <row r="346" spans="1:48" ht="12" customHeight="1">
      <c r="A346" s="34"/>
      <c r="B346" s="34"/>
      <c r="C346" s="34"/>
      <c r="D346" s="34"/>
      <c r="E346" s="34"/>
      <c r="F346" s="34"/>
      <c r="G346" s="34"/>
      <c r="H346" s="35" t="s">
        <v>315</v>
      </c>
      <c r="I346" s="243"/>
      <c r="J346" s="233"/>
      <c r="K346" s="99"/>
      <c r="L346" s="101"/>
      <c r="M346" s="101"/>
      <c r="N346" s="101"/>
      <c r="O346" s="101"/>
      <c r="P346" s="101"/>
      <c r="Q346" s="101"/>
      <c r="R346" s="101"/>
      <c r="S346" s="101"/>
      <c r="T346" s="101"/>
      <c r="U346" s="101"/>
      <c r="V346" s="101"/>
      <c r="W346" s="101"/>
      <c r="X346" s="100"/>
      <c r="Y346" s="169"/>
      <c r="Z346" s="169"/>
      <c r="AA346" s="169"/>
      <c r="AB346" s="169"/>
      <c r="AC346" s="170"/>
      <c r="AD346" s="170"/>
      <c r="AE346" s="170"/>
      <c r="AF346" s="170"/>
      <c r="AG346" s="170"/>
      <c r="AH346" s="170"/>
      <c r="AI346" s="169"/>
      <c r="AJ346" s="169"/>
      <c r="AK346" s="175"/>
      <c r="AL346" s="175"/>
      <c r="AM346" s="175"/>
      <c r="AN346" s="101"/>
      <c r="AO346" s="385"/>
      <c r="AP346" t="e">
        <f t="shared" ca="1" si="261"/>
        <v>#NAME?</v>
      </c>
      <c r="AQ346" s="101"/>
      <c r="AR346" s="33"/>
      <c r="AS346" s="33"/>
      <c r="AT346" s="33"/>
      <c r="AU346" s="33"/>
      <c r="AV346" s="33"/>
    </row>
    <row r="347" spans="1:48" ht="12" customHeight="1">
      <c r="A347" s="34"/>
      <c r="B347" s="34"/>
      <c r="C347" s="34"/>
      <c r="D347" s="34"/>
      <c r="E347" s="34"/>
      <c r="F347" s="34"/>
      <c r="G347" s="34"/>
      <c r="H347" s="35"/>
      <c r="I347" s="243"/>
      <c r="J347" s="233"/>
      <c r="K347" s="99"/>
      <c r="L347" s="101"/>
      <c r="M347" s="101"/>
      <c r="N347" s="101"/>
      <c r="O347" s="101"/>
      <c r="P347" s="101"/>
      <c r="Q347" s="101"/>
      <c r="R347" s="101"/>
      <c r="S347" s="101"/>
      <c r="T347" s="101"/>
      <c r="U347" s="101"/>
      <c r="V347" s="101"/>
      <c r="W347" s="101"/>
      <c r="X347" s="100"/>
      <c r="Y347" s="169"/>
      <c r="Z347" s="169"/>
      <c r="AA347" s="169"/>
      <c r="AB347" s="169"/>
      <c r="AC347" s="170"/>
      <c r="AD347" s="170"/>
      <c r="AE347" s="170"/>
      <c r="AF347" s="170"/>
      <c r="AG347" s="170"/>
      <c r="AH347" s="170"/>
      <c r="AI347" s="169"/>
      <c r="AJ347" s="169"/>
      <c r="AK347" s="175"/>
      <c r="AL347" s="175"/>
      <c r="AM347" s="175"/>
      <c r="AN347" s="101"/>
      <c r="AO347" s="385"/>
      <c r="AP347" t="e">
        <f t="shared" ca="1" si="261"/>
        <v>#NAME?</v>
      </c>
      <c r="AQ347" s="101"/>
      <c r="AR347" s="33"/>
      <c r="AS347" s="33"/>
      <c r="AT347" s="33"/>
      <c r="AU347" s="33"/>
      <c r="AV347" s="33"/>
    </row>
    <row r="348" spans="1:48" ht="12" customHeight="1">
      <c r="A348" s="285"/>
      <c r="B348" s="286"/>
      <c r="C348" s="286"/>
      <c r="D348" s="286"/>
      <c r="E348" s="286"/>
      <c r="F348" s="286"/>
      <c r="G348" s="286"/>
      <c r="H348" s="45"/>
      <c r="I348" s="316"/>
      <c r="J348" s="317"/>
      <c r="K348" s="38"/>
      <c r="L348" s="318" t="s">
        <v>13</v>
      </c>
      <c r="M348" s="318" t="s">
        <v>13</v>
      </c>
      <c r="N348" s="319" t="s">
        <v>13</v>
      </c>
      <c r="O348" s="319" t="s">
        <v>13</v>
      </c>
      <c r="P348" s="320" t="s">
        <v>9</v>
      </c>
      <c r="Q348" s="320" t="s">
        <v>316</v>
      </c>
      <c r="R348" s="145"/>
      <c r="S348" s="146" t="s">
        <v>13</v>
      </c>
      <c r="T348" s="147"/>
      <c r="U348" s="148"/>
      <c r="V348" s="149" t="s">
        <v>10</v>
      </c>
      <c r="W348" s="149" t="s">
        <v>10</v>
      </c>
      <c r="X348" s="147" t="s">
        <v>317</v>
      </c>
      <c r="Y348" s="147" t="s">
        <v>318</v>
      </c>
      <c r="Z348" s="147"/>
      <c r="AA348" s="147"/>
      <c r="AB348" s="147"/>
      <c r="AC348" s="147" t="s">
        <v>319</v>
      </c>
      <c r="AD348" s="147" t="s">
        <v>319</v>
      </c>
      <c r="AE348" s="147" t="s">
        <v>320</v>
      </c>
      <c r="AF348" s="147" t="s">
        <v>320</v>
      </c>
      <c r="AG348" s="147" t="s">
        <v>320</v>
      </c>
      <c r="AH348" s="147" t="s">
        <v>320</v>
      </c>
      <c r="AI348" s="147"/>
      <c r="AJ348" s="147" t="s">
        <v>318</v>
      </c>
      <c r="AK348" s="147"/>
      <c r="AL348" s="147"/>
      <c r="AM348" s="147"/>
      <c r="AN348" s="147"/>
      <c r="AO348" s="147"/>
      <c r="AP348" s="147" t="e">
        <f t="shared" ca="1" si="261"/>
        <v>#NAME?</v>
      </c>
      <c r="AQ348" s="149" t="s">
        <v>8</v>
      </c>
      <c r="AR348" s="648" t="s">
        <v>14</v>
      </c>
      <c r="AS348" s="648" t="s">
        <v>15</v>
      </c>
      <c r="AT348" s="648" t="s">
        <v>16</v>
      </c>
      <c r="AU348" s="648" t="s">
        <v>17</v>
      </c>
      <c r="AV348" s="648" t="s">
        <v>18</v>
      </c>
    </row>
    <row r="349" spans="1:48" ht="12" customHeight="1">
      <c r="A349" s="36"/>
      <c r="B349" s="37"/>
      <c r="C349" s="37"/>
      <c r="D349" s="37"/>
      <c r="E349" s="37"/>
      <c r="F349" s="37"/>
      <c r="G349" s="37"/>
      <c r="H349" s="287"/>
      <c r="I349" s="321"/>
      <c r="J349" s="322"/>
      <c r="K349" s="323"/>
      <c r="L349" s="324" t="s">
        <v>19</v>
      </c>
      <c r="M349" s="324" t="s">
        <v>20</v>
      </c>
      <c r="N349" s="325" t="s">
        <v>19</v>
      </c>
      <c r="O349" s="325" t="s">
        <v>20</v>
      </c>
      <c r="P349" s="326" t="s">
        <v>20</v>
      </c>
      <c r="Q349" s="326" t="s">
        <v>20</v>
      </c>
      <c r="R349" s="150" t="s">
        <v>21</v>
      </c>
      <c r="S349" s="147" t="s">
        <v>321</v>
      </c>
      <c r="T349" s="147"/>
      <c r="U349" s="148"/>
      <c r="V349" s="151" t="s">
        <v>24</v>
      </c>
      <c r="W349" s="151" t="s">
        <v>24</v>
      </c>
      <c r="X349" s="147"/>
      <c r="Y349" s="147"/>
      <c r="Z349" s="147"/>
      <c r="AA349" s="147"/>
      <c r="AB349" s="147"/>
      <c r="AC349" s="147"/>
      <c r="AD349" s="147"/>
      <c r="AE349" s="147"/>
      <c r="AF349" s="147"/>
      <c r="AG349" s="147"/>
      <c r="AH349" s="147"/>
      <c r="AI349" s="147"/>
      <c r="AJ349" s="147"/>
      <c r="AK349" s="147"/>
      <c r="AL349" s="147"/>
      <c r="AM349" s="147"/>
      <c r="AN349" s="147"/>
      <c r="AO349" s="147"/>
      <c r="AP349" s="147" t="e">
        <f t="shared" ca="1" si="261"/>
        <v>#NAME?</v>
      </c>
      <c r="AQ349" s="151" t="s">
        <v>20</v>
      </c>
      <c r="AR349" s="649"/>
      <c r="AS349" s="649"/>
      <c r="AT349" s="649"/>
      <c r="AU349" s="649"/>
      <c r="AV349" s="649"/>
    </row>
    <row r="350" spans="1:48" ht="12" customHeight="1">
      <c r="A350" s="36"/>
      <c r="B350" s="37"/>
      <c r="C350" s="37"/>
      <c r="D350" s="37"/>
      <c r="E350" s="37"/>
      <c r="F350" s="37"/>
      <c r="G350" s="37"/>
      <c r="H350" s="288"/>
      <c r="I350" s="327"/>
      <c r="J350" s="288"/>
      <c r="K350" s="328"/>
      <c r="L350" s="104"/>
      <c r="M350" s="104"/>
      <c r="N350" s="105"/>
      <c r="O350" s="105"/>
      <c r="P350" s="106"/>
      <c r="Q350" s="106"/>
      <c r="R350" s="150"/>
      <c r="S350" s="149"/>
      <c r="T350" s="149"/>
      <c r="U350" s="357"/>
      <c r="V350" s="151" t="s">
        <v>26</v>
      </c>
      <c r="W350" s="151" t="s">
        <v>25</v>
      </c>
      <c r="X350" s="149"/>
      <c r="Y350" s="149"/>
      <c r="Z350" s="149"/>
      <c r="AA350" s="149"/>
      <c r="AB350" s="149"/>
      <c r="AC350" s="149"/>
      <c r="AD350" s="149"/>
      <c r="AE350" s="149"/>
      <c r="AF350" s="149"/>
      <c r="AG350" s="149"/>
      <c r="AH350" s="149"/>
      <c r="AI350" s="149"/>
      <c r="AJ350" s="149"/>
      <c r="AK350" s="149"/>
      <c r="AL350" s="149"/>
      <c r="AM350" s="149"/>
      <c r="AN350" s="149"/>
      <c r="AO350" s="149"/>
      <c r="AP350" s="149"/>
      <c r="AQ350" s="189"/>
      <c r="AR350" s="386"/>
      <c r="AS350" s="270"/>
      <c r="AT350" s="270"/>
      <c r="AU350" s="270"/>
      <c r="AV350" s="271"/>
    </row>
    <row r="351" spans="1:48" ht="12" customHeight="1">
      <c r="A351" s="42"/>
      <c r="B351" s="42"/>
      <c r="C351" s="42"/>
      <c r="D351" s="42"/>
      <c r="E351" s="42"/>
      <c r="F351" s="42"/>
      <c r="G351" s="42"/>
      <c r="H351" s="2"/>
      <c r="I351" s="14"/>
      <c r="J351" s="2"/>
      <c r="K351" s="281"/>
      <c r="L351" s="85">
        <v>1</v>
      </c>
      <c r="M351" s="85">
        <v>2</v>
      </c>
      <c r="N351" s="86">
        <v>3</v>
      </c>
      <c r="O351" s="86">
        <v>4</v>
      </c>
      <c r="P351" s="87">
        <v>5</v>
      </c>
      <c r="Q351" s="87">
        <v>6</v>
      </c>
      <c r="R351" s="358">
        <v>1</v>
      </c>
      <c r="S351" s="147"/>
      <c r="T351" s="147"/>
      <c r="U351" s="148"/>
      <c r="V351" s="147">
        <v>3</v>
      </c>
      <c r="W351" s="147">
        <v>3</v>
      </c>
      <c r="X351" s="147"/>
      <c r="Y351" s="147"/>
      <c r="Z351" s="147"/>
      <c r="AA351" s="147"/>
      <c r="AB351" s="147"/>
      <c r="AC351" s="147">
        <v>7</v>
      </c>
      <c r="AD351" s="147">
        <v>8</v>
      </c>
      <c r="AE351" s="147">
        <v>9</v>
      </c>
      <c r="AF351" s="147">
        <v>10</v>
      </c>
      <c r="AG351" s="147">
        <v>11</v>
      </c>
      <c r="AH351" s="147">
        <v>12</v>
      </c>
      <c r="AI351" s="147"/>
      <c r="AJ351" s="147"/>
      <c r="AK351" s="147"/>
      <c r="AL351" s="147"/>
      <c r="AM351" s="147"/>
      <c r="AN351" s="147"/>
      <c r="AO351" s="147"/>
      <c r="AP351" s="147" t="e">
        <f t="shared" ref="AP351:AP414" ca="1" si="273">__xlfn.ISFORMULA(X351)</f>
        <v>#NAME?</v>
      </c>
      <c r="AQ351" s="146">
        <v>4</v>
      </c>
      <c r="AR351" s="645"/>
      <c r="AS351" s="646"/>
      <c r="AT351" s="646"/>
      <c r="AU351" s="646"/>
      <c r="AV351" s="647"/>
    </row>
    <row r="352" spans="1:48" ht="12" customHeight="1">
      <c r="A352" s="42"/>
      <c r="B352" s="42"/>
      <c r="C352" s="42"/>
      <c r="D352" s="42"/>
      <c r="E352" s="42"/>
      <c r="F352" s="42"/>
      <c r="G352" s="42"/>
      <c r="H352" s="2" t="s">
        <v>322</v>
      </c>
      <c r="I352" s="8"/>
      <c r="J352" s="281"/>
      <c r="K352" s="74" t="s">
        <v>323</v>
      </c>
      <c r="L352" s="119"/>
      <c r="M352" s="119"/>
      <c r="N352" s="120"/>
      <c r="O352" s="120"/>
      <c r="P352" s="121"/>
      <c r="Q352" s="121"/>
      <c r="R352" s="157"/>
      <c r="S352" s="158"/>
      <c r="T352" s="158"/>
      <c r="U352" s="158"/>
      <c r="V352" s="200"/>
      <c r="W352" s="200"/>
      <c r="X352" s="164"/>
      <c r="Y352" s="369"/>
      <c r="Z352" s="369"/>
      <c r="AA352" s="369"/>
      <c r="AB352" s="179"/>
      <c r="AC352" s="180"/>
      <c r="AD352" s="180"/>
      <c r="AE352" s="180"/>
      <c r="AF352" s="180"/>
      <c r="AG352" s="180"/>
      <c r="AH352" s="180"/>
      <c r="AI352" s="179"/>
      <c r="AJ352" s="369"/>
      <c r="AK352" s="171"/>
      <c r="AL352" s="171"/>
      <c r="AM352" s="171"/>
      <c r="AN352" s="158"/>
      <c r="AO352" s="193"/>
      <c r="AP352" s="193" t="e">
        <f t="shared" ca="1" si="273"/>
        <v>#NAME?</v>
      </c>
      <c r="AQ352" s="200"/>
      <c r="AR352" s="387"/>
      <c r="AS352" s="387"/>
      <c r="AT352" s="387"/>
      <c r="AU352" s="387"/>
      <c r="AV352" s="387"/>
    </row>
    <row r="353" spans="1:48" ht="12" customHeight="1">
      <c r="A353" s="42"/>
      <c r="B353" s="42"/>
      <c r="C353" s="42"/>
      <c r="D353" s="42"/>
      <c r="E353" s="42"/>
      <c r="F353" s="42"/>
      <c r="G353" s="42"/>
      <c r="H353" s="2"/>
      <c r="I353" s="8"/>
      <c r="J353" s="281"/>
      <c r="K353" s="107" t="s">
        <v>324</v>
      </c>
      <c r="L353" s="112">
        <f t="shared" ref="L353:S353" si="274">L356+L981+L1062+L1126</f>
        <v>24995631</v>
      </c>
      <c r="M353" s="112">
        <f t="shared" si="274"/>
        <v>3317490.3444156875</v>
      </c>
      <c r="N353" s="113">
        <f t="shared" si="274"/>
        <v>24086719</v>
      </c>
      <c r="O353" s="113">
        <f t="shared" si="274"/>
        <v>3196856.9911739333</v>
      </c>
      <c r="P353" s="114">
        <f t="shared" si="274"/>
        <v>5173379.5089256093</v>
      </c>
      <c r="Q353" s="114">
        <f t="shared" si="274"/>
        <v>4545820</v>
      </c>
      <c r="R353" s="88">
        <f t="shared" si="274"/>
        <v>4195513</v>
      </c>
      <c r="S353" s="90" t="e">
        <f t="shared" ca="1" si="274"/>
        <v>#NAME?</v>
      </c>
      <c r="T353" s="90"/>
      <c r="U353" s="90"/>
      <c r="V353" s="200">
        <f>V356+V981+V1062+V1126</f>
        <v>5310459.93</v>
      </c>
      <c r="W353" s="200">
        <f>W356+W981+W1062+W1126</f>
        <v>5310459.93</v>
      </c>
      <c r="X353" s="88">
        <f>X356+X981+X1062+X1126</f>
        <v>6991250</v>
      </c>
      <c r="Y353" s="171" t="e">
        <f ca="1">Y356+Y981+Y1062+Y1126</f>
        <v>#NAME?</v>
      </c>
      <c r="Z353" s="171" t="e">
        <f ca="1">Z356+Z981+Z1062+Z1126</f>
        <v>#NAME?</v>
      </c>
      <c r="AA353" s="370" t="e">
        <f t="shared" ref="AA353:AA416" ca="1" si="275">__xlfn.ISFORMULA(R353)</f>
        <v>#NAME?</v>
      </c>
      <c r="AB353" s="171"/>
      <c r="AC353" s="172">
        <f>AC356+AC981+AC1062+AC1126</f>
        <v>4224500</v>
      </c>
      <c r="AD353" s="172">
        <f>AD356+AD981+AD1062+AD1126</f>
        <v>4224500</v>
      </c>
      <c r="AE353" s="178">
        <f>O353/M353*100</f>
        <v>96.363716523099583</v>
      </c>
      <c r="AF353" s="178">
        <f>P353/O353*100</f>
        <v>161.82705461046814</v>
      </c>
      <c r="AG353" s="178">
        <f>Q353/P353*100</f>
        <v>87.869447662927428</v>
      </c>
      <c r="AH353" s="178">
        <f>AC353/Q353*100</f>
        <v>92.93152830512426</v>
      </c>
      <c r="AI353" s="171"/>
      <c r="AJ353" s="171">
        <v>6723250.2999999998</v>
      </c>
      <c r="AK353" s="171">
        <f t="shared" ref="AK353:AK400" si="276">W353/R353*100</f>
        <v>126.57474616334163</v>
      </c>
      <c r="AL353" s="171">
        <f t="shared" ref="AL353:AM400" si="277">X353/W353*100</f>
        <v>131.65055554802012</v>
      </c>
      <c r="AM353" s="171" t="e">
        <f t="shared" ca="1" si="277"/>
        <v>#NAME?</v>
      </c>
      <c r="AN353" s="90"/>
      <c r="AO353" s="193"/>
      <c r="AP353" s="193" t="e">
        <f t="shared" ca="1" si="273"/>
        <v>#NAME?</v>
      </c>
      <c r="AQ353" s="200">
        <f>AQ356+AQ981+AQ1062+AQ1126</f>
        <v>4744450.16</v>
      </c>
      <c r="AR353" s="204">
        <f>V353/R353*100</f>
        <v>126.57474616334163</v>
      </c>
      <c r="AS353" s="204">
        <f>W353/V353*100</f>
        <v>100</v>
      </c>
      <c r="AT353" s="204">
        <f>W353/R353*100</f>
        <v>126.57474616334163</v>
      </c>
      <c r="AU353" s="204">
        <f>AQ353/W353*100</f>
        <v>89.341605483124326</v>
      </c>
      <c r="AV353" s="204">
        <f>AQ353/R353*100</f>
        <v>113.08391035851872</v>
      </c>
    </row>
    <row r="354" spans="1:48" ht="12" customHeight="1">
      <c r="A354" s="42"/>
      <c r="B354" s="42"/>
      <c r="C354" s="42"/>
      <c r="D354" s="42"/>
      <c r="E354" s="42"/>
      <c r="F354" s="42"/>
      <c r="G354" s="42"/>
      <c r="H354" s="2"/>
      <c r="I354" s="8"/>
      <c r="J354" s="281"/>
      <c r="K354" s="91"/>
      <c r="L354" s="112"/>
      <c r="M354" s="112"/>
      <c r="N354" s="113"/>
      <c r="O354" s="113"/>
      <c r="P354" s="114"/>
      <c r="Q354" s="114"/>
      <c r="R354" s="88"/>
      <c r="S354" s="90"/>
      <c r="T354" s="90"/>
      <c r="U354" s="90"/>
      <c r="V354" s="200"/>
      <c r="W354" s="200"/>
      <c r="X354" s="167"/>
      <c r="Y354" s="370"/>
      <c r="Z354" s="370"/>
      <c r="AA354" s="370" t="e">
        <f t="shared" ca="1" si="275"/>
        <v>#NAME?</v>
      </c>
      <c r="AB354" s="171"/>
      <c r="AC354" s="172"/>
      <c r="AD354" s="172"/>
      <c r="AE354" s="178"/>
      <c r="AF354" s="178"/>
      <c r="AG354" s="178"/>
      <c r="AH354" s="178"/>
      <c r="AI354" s="171"/>
      <c r="AJ354" s="370"/>
      <c r="AK354" s="171"/>
      <c r="AL354" s="171"/>
      <c r="AM354" s="171"/>
      <c r="AN354" s="90"/>
      <c r="AO354" s="193"/>
      <c r="AP354" s="193" t="e">
        <f t="shared" ca="1" si="273"/>
        <v>#NAME?</v>
      </c>
      <c r="AQ354" s="200"/>
      <c r="AR354" s="204"/>
      <c r="AS354" s="204"/>
      <c r="AT354" s="204"/>
      <c r="AU354" s="204"/>
      <c r="AV354" s="204"/>
    </row>
    <row r="355" spans="1:48" ht="12" customHeight="1">
      <c r="A355" s="289"/>
      <c r="B355" s="290"/>
      <c r="C355" s="290"/>
      <c r="D355" s="290"/>
      <c r="E355" s="290"/>
      <c r="F355" s="290"/>
      <c r="G355" s="290"/>
      <c r="H355" s="291" t="s">
        <v>325</v>
      </c>
      <c r="I355" s="329"/>
      <c r="J355" s="330" t="s">
        <v>326</v>
      </c>
      <c r="K355" s="331"/>
      <c r="L355" s="119"/>
      <c r="M355" s="119"/>
      <c r="N355" s="120"/>
      <c r="O355" s="120"/>
      <c r="P355" s="121"/>
      <c r="Q355" s="121"/>
      <c r="R355" s="157"/>
      <c r="S355" s="158"/>
      <c r="T355" s="158"/>
      <c r="U355" s="158"/>
      <c r="V355" s="200"/>
      <c r="W355" s="200"/>
      <c r="X355" s="164"/>
      <c r="Y355" s="369"/>
      <c r="Z355" s="369"/>
      <c r="AA355" s="370" t="e">
        <f t="shared" ca="1" si="275"/>
        <v>#NAME?</v>
      </c>
      <c r="AB355" s="179"/>
      <c r="AC355" s="180"/>
      <c r="AD355" s="180"/>
      <c r="AE355" s="178"/>
      <c r="AF355" s="178"/>
      <c r="AG355" s="178"/>
      <c r="AH355" s="178"/>
      <c r="AI355" s="179"/>
      <c r="AJ355" s="369"/>
      <c r="AK355" s="171"/>
      <c r="AL355" s="171"/>
      <c r="AM355" s="171"/>
      <c r="AN355" s="158"/>
      <c r="AO355" s="193"/>
      <c r="AP355" s="193" t="e">
        <f t="shared" ca="1" si="273"/>
        <v>#NAME?</v>
      </c>
      <c r="AQ355" s="200"/>
      <c r="AR355" s="204"/>
      <c r="AS355" s="204"/>
      <c r="AT355" s="204"/>
      <c r="AU355" s="204"/>
      <c r="AV355" s="204"/>
    </row>
    <row r="356" spans="1:48" ht="12" customHeight="1">
      <c r="A356" s="292"/>
      <c r="B356" s="293"/>
      <c r="C356" s="293"/>
      <c r="D356" s="293"/>
      <c r="E356" s="293"/>
      <c r="F356" s="293"/>
      <c r="G356" s="293"/>
      <c r="H356" s="294" t="s">
        <v>327</v>
      </c>
      <c r="I356" s="332"/>
      <c r="J356" s="333" t="s">
        <v>328</v>
      </c>
      <c r="K356" s="334"/>
      <c r="L356" s="335">
        <f t="shared" ref="L356:S356" si="278">L357+L475+L491+L523+L533+L598+L613+L654+L768+L788+L821+L873+L905+L930+L972</f>
        <v>18118172</v>
      </c>
      <c r="M356" s="335">
        <f t="shared" si="278"/>
        <v>2404694.671179242</v>
      </c>
      <c r="N356" s="336">
        <f t="shared" si="278"/>
        <v>18694580</v>
      </c>
      <c r="O356" s="336">
        <f t="shared" si="278"/>
        <v>2481197.1597318999</v>
      </c>
      <c r="P356" s="337">
        <f t="shared" si="278"/>
        <v>4318179.5089256093</v>
      </c>
      <c r="Q356" s="337">
        <f t="shared" si="278"/>
        <v>3694960</v>
      </c>
      <c r="R356" s="359">
        <f t="shared" si="278"/>
        <v>3377419</v>
      </c>
      <c r="S356" s="360" t="e">
        <f t="shared" ca="1" si="278"/>
        <v>#NAME?</v>
      </c>
      <c r="T356" s="360"/>
      <c r="U356" s="360"/>
      <c r="V356" s="200">
        <f>V357+V475+V491+V523+V533+V598+V613+V654+V768+V788+V821+V873+V905+V930+V972</f>
        <v>4201390</v>
      </c>
      <c r="W356" s="200">
        <f>W357+W475+W491+W523+W533+W598+W613+W654+W768+W788+W821+W873+W905+W930+W972</f>
        <v>4201390</v>
      </c>
      <c r="X356" s="359">
        <f>X357+X475+X491+X523+X533+X598+X613+X654+X768+X788+X821+X873+X905+X930+X972</f>
        <v>5503260</v>
      </c>
      <c r="Y356" s="371" t="e">
        <f ca="1">Y357+Y475+Y491+Y523+Y533+Y598+Y613+Y654+Y768+Y788+Y821+Y873+Y905+Y930+Y972</f>
        <v>#NAME?</v>
      </c>
      <c r="Z356" s="371" t="e">
        <f ca="1">Z357+Z475+Z491+Z523+Z533+Z598+Z613+Z654+Z768+Z788+Z821+Z873+Z905+Z930+Z972</f>
        <v>#NAME?</v>
      </c>
      <c r="AA356" s="370" t="e">
        <f t="shared" ca="1" si="275"/>
        <v>#NAME?</v>
      </c>
      <c r="AB356" s="371"/>
      <c r="AC356" s="372">
        <f>AC357+AC475+AC491+AC523+AC533+AC598+AC613+AC654+AC768+AC788+AC821+AC873+AC905+AC930+AC972</f>
        <v>3341000</v>
      </c>
      <c r="AD356" s="372">
        <f>AD357+AD475+AD491+AD523+AD533+AD598+AD613+AD654+AD768+AD788+AD821+AD873+AD905+AD930+AD972</f>
        <v>3341000</v>
      </c>
      <c r="AE356" s="178">
        <f>O356/M356*100</f>
        <v>103.18138054987006</v>
      </c>
      <c r="AF356" s="178">
        <f t="shared" ref="AF356:AG358" si="279">P356/O356*100</f>
        <v>174.03612977665185</v>
      </c>
      <c r="AG356" s="178">
        <f t="shared" si="279"/>
        <v>85.567540496234017</v>
      </c>
      <c r="AH356" s="178">
        <f>AC356/Q356*100</f>
        <v>90.420464632905365</v>
      </c>
      <c r="AI356" s="371"/>
      <c r="AJ356" s="371">
        <v>5249248</v>
      </c>
      <c r="AK356" s="171">
        <f t="shared" si="276"/>
        <v>124.39646961185449</v>
      </c>
      <c r="AL356" s="171">
        <f t="shared" si="277"/>
        <v>130.98664965642322</v>
      </c>
      <c r="AM356" s="171" t="e">
        <f t="shared" ca="1" si="277"/>
        <v>#NAME?</v>
      </c>
      <c r="AN356" s="360"/>
      <c r="AO356" s="193"/>
      <c r="AP356" s="193" t="e">
        <f t="shared" ca="1" si="273"/>
        <v>#NAME?</v>
      </c>
      <c r="AQ356" s="200">
        <f>AQ357+AQ475+AQ491+AQ523+AQ533+AQ598+AQ613+AQ654+AQ768+AQ788+AQ821+AQ873+AQ905+AQ930+AQ972</f>
        <v>3712912.77</v>
      </c>
      <c r="AR356" s="204">
        <f t="shared" ref="AR356:AR416" si="280">V356/R356*100</f>
        <v>124.39646961185449</v>
      </c>
      <c r="AS356" s="204">
        <f t="shared" ref="AS356:AS416" si="281">W356/V356*100</f>
        <v>100</v>
      </c>
      <c r="AT356" s="204">
        <f t="shared" ref="AT356:AT416" si="282">W356/R356*100</f>
        <v>124.39646961185449</v>
      </c>
      <c r="AU356" s="204">
        <f t="shared" ref="AU356:AU416" si="283">AQ356/W356*100</f>
        <v>88.373437600413197</v>
      </c>
      <c r="AV356" s="204">
        <f t="shared" ref="AV356:AV416" si="284">AQ356/R356*100</f>
        <v>109.93343644954921</v>
      </c>
    </row>
    <row r="357" spans="1:48" ht="12" customHeight="1">
      <c r="A357" s="295" t="s">
        <v>329</v>
      </c>
      <c r="B357" s="296"/>
      <c r="C357" s="296"/>
      <c r="D357" s="296"/>
      <c r="E357" s="296"/>
      <c r="F357" s="296"/>
      <c r="G357" s="296"/>
      <c r="H357" s="297"/>
      <c r="I357" s="125" t="s">
        <v>330</v>
      </c>
      <c r="J357" s="338"/>
      <c r="K357" s="280"/>
      <c r="L357" s="112">
        <f t="shared" ref="L357:S357" si="285">L358+L409+L454</f>
        <v>4400948</v>
      </c>
      <c r="M357" s="112">
        <f t="shared" si="285"/>
        <v>584106.17824673164</v>
      </c>
      <c r="N357" s="113">
        <f t="shared" si="285"/>
        <v>3719219</v>
      </c>
      <c r="O357" s="113">
        <f t="shared" si="285"/>
        <v>493625.19078903709</v>
      </c>
      <c r="P357" s="114">
        <f t="shared" si="285"/>
        <v>689960</v>
      </c>
      <c r="Q357" s="114">
        <f t="shared" si="285"/>
        <v>709840</v>
      </c>
      <c r="R357" s="88">
        <f t="shared" si="285"/>
        <v>640018</v>
      </c>
      <c r="S357" s="90" t="e">
        <f t="shared" ca="1" si="285"/>
        <v>#NAME?</v>
      </c>
      <c r="T357" s="90"/>
      <c r="U357" s="90"/>
      <c r="V357" s="200">
        <f>V358+V409+V454</f>
        <v>862490</v>
      </c>
      <c r="W357" s="200">
        <f>W358+W409+W454</f>
        <v>853590</v>
      </c>
      <c r="X357" s="88">
        <f>X358+X409+X454</f>
        <v>1054660</v>
      </c>
      <c r="Y357" s="171">
        <f>Y358+Y409+Y454</f>
        <v>793248</v>
      </c>
      <c r="Z357" s="171">
        <f>Z358+Z409+Z454</f>
        <v>0</v>
      </c>
      <c r="AA357" s="370" t="e">
        <f t="shared" ca="1" si="275"/>
        <v>#NAME?</v>
      </c>
      <c r="AB357" s="171"/>
      <c r="AC357" s="172">
        <f>AC358+AC409+AC454</f>
        <v>702000</v>
      </c>
      <c r="AD357" s="172">
        <f>AD358+AD409+AD454</f>
        <v>702000</v>
      </c>
      <c r="AE357" s="178">
        <f>O357/M357*100</f>
        <v>84.509496590280094</v>
      </c>
      <c r="AF357" s="178">
        <f t="shared" si="279"/>
        <v>139.77406600686865</v>
      </c>
      <c r="AG357" s="178">
        <f t="shared" si="279"/>
        <v>102.88132645370747</v>
      </c>
      <c r="AH357" s="178">
        <f>AC357/Q357*100</f>
        <v>98.895525752282211</v>
      </c>
      <c r="AI357" s="171"/>
      <c r="AJ357" s="171">
        <v>793248</v>
      </c>
      <c r="AK357" s="171">
        <f t="shared" si="276"/>
        <v>133.36968647756783</v>
      </c>
      <c r="AL357" s="171">
        <f t="shared" si="277"/>
        <v>123.55580548038286</v>
      </c>
      <c r="AM357" s="171">
        <f t="shared" si="277"/>
        <v>75.213623347808777</v>
      </c>
      <c r="AN357" s="90"/>
      <c r="AO357" s="193"/>
      <c r="AP357" s="193" t="e">
        <f t="shared" ca="1" si="273"/>
        <v>#NAME?</v>
      </c>
      <c r="AQ357" s="200">
        <f>AQ358+AQ409+AQ454</f>
        <v>773670.66</v>
      </c>
      <c r="AR357" s="204">
        <f t="shared" si="280"/>
        <v>134.76027236733967</v>
      </c>
      <c r="AS357" s="204">
        <f t="shared" si="281"/>
        <v>98.96810397801714</v>
      </c>
      <c r="AT357" s="204">
        <f t="shared" si="282"/>
        <v>133.36968647756783</v>
      </c>
      <c r="AU357" s="204">
        <f t="shared" si="283"/>
        <v>90.637268477840649</v>
      </c>
      <c r="AV357" s="204">
        <f t="shared" si="284"/>
        <v>120.88264080072749</v>
      </c>
    </row>
    <row r="358" spans="1:48" ht="12" customHeight="1">
      <c r="A358" s="298" t="s">
        <v>331</v>
      </c>
      <c r="B358" s="299"/>
      <c r="C358" s="299"/>
      <c r="D358" s="299"/>
      <c r="E358" s="299"/>
      <c r="F358" s="299"/>
      <c r="G358" s="299"/>
      <c r="H358" s="300"/>
      <c r="I358" s="122" t="s">
        <v>332</v>
      </c>
      <c r="J358" s="339"/>
      <c r="K358" s="340"/>
      <c r="L358" s="112">
        <f t="shared" ref="L358:S358" si="286">L360</f>
        <v>3155879</v>
      </c>
      <c r="M358" s="112">
        <f t="shared" si="286"/>
        <v>418857.12389674166</v>
      </c>
      <c r="N358" s="113">
        <f t="shared" si="286"/>
        <v>2968814</v>
      </c>
      <c r="O358" s="113">
        <f t="shared" si="286"/>
        <v>394029.3317406596</v>
      </c>
      <c r="P358" s="114">
        <f t="shared" si="286"/>
        <v>498120</v>
      </c>
      <c r="Q358" s="114">
        <f t="shared" si="286"/>
        <v>503600</v>
      </c>
      <c r="R358" s="88">
        <f t="shared" si="286"/>
        <v>469073</v>
      </c>
      <c r="S358" s="90" t="e">
        <f t="shared" ca="1" si="286"/>
        <v>#NAME?</v>
      </c>
      <c r="T358" s="90"/>
      <c r="U358" s="90"/>
      <c r="V358" s="200">
        <f>V360</f>
        <v>601100</v>
      </c>
      <c r="W358" s="200">
        <f>W360</f>
        <v>592971</v>
      </c>
      <c r="X358" s="88">
        <f>X360</f>
        <v>687500</v>
      </c>
      <c r="Y358" s="171">
        <f>Y360</f>
        <v>458000</v>
      </c>
      <c r="Z358" s="171">
        <f>Z360</f>
        <v>0</v>
      </c>
      <c r="AA358" s="370" t="e">
        <f t="shared" ca="1" si="275"/>
        <v>#NAME?</v>
      </c>
      <c r="AB358" s="171"/>
      <c r="AC358" s="172">
        <f>AC360</f>
        <v>508250</v>
      </c>
      <c r="AD358" s="172">
        <f>AD360</f>
        <v>508250</v>
      </c>
      <c r="AE358" s="178">
        <f>O358/M358*100</f>
        <v>94.072491372451211</v>
      </c>
      <c r="AF358" s="178">
        <f t="shared" si="279"/>
        <v>126.41698469489837</v>
      </c>
      <c r="AG358" s="178">
        <f t="shared" si="279"/>
        <v>101.10013651328997</v>
      </c>
      <c r="AH358" s="178">
        <f>AC358/Q358*100</f>
        <v>100.92335186656076</v>
      </c>
      <c r="AI358" s="171"/>
      <c r="AJ358" s="171">
        <v>458000</v>
      </c>
      <c r="AK358" s="171">
        <f t="shared" si="276"/>
        <v>126.41337275861113</v>
      </c>
      <c r="AL358" s="171">
        <f t="shared" si="277"/>
        <v>115.94158904904288</v>
      </c>
      <c r="AM358" s="171">
        <f t="shared" si="277"/>
        <v>66.618181818181824</v>
      </c>
      <c r="AN358" s="90"/>
      <c r="AO358" s="193"/>
      <c r="AP358" s="193" t="e">
        <f t="shared" ca="1" si="273"/>
        <v>#NAME?</v>
      </c>
      <c r="AQ358" s="200">
        <f>AQ360</f>
        <v>549545.38</v>
      </c>
      <c r="AR358" s="204">
        <f t="shared" si="280"/>
        <v>128.14636527789918</v>
      </c>
      <c r="AS358" s="204">
        <f t="shared" si="281"/>
        <v>98.64764598236566</v>
      </c>
      <c r="AT358" s="204">
        <f t="shared" si="282"/>
        <v>126.41337275861113</v>
      </c>
      <c r="AU358" s="204">
        <f t="shared" si="283"/>
        <v>92.676603071651058</v>
      </c>
      <c r="AV358" s="204">
        <f t="shared" si="284"/>
        <v>117.15561970098472</v>
      </c>
    </row>
    <row r="359" spans="1:48" ht="12" customHeight="1">
      <c r="A359" s="42"/>
      <c r="B359" s="42"/>
      <c r="C359" s="42"/>
      <c r="D359" s="42"/>
      <c r="E359" s="42"/>
      <c r="F359" s="42"/>
      <c r="G359" s="42"/>
      <c r="H359" s="2"/>
      <c r="I359" s="14"/>
      <c r="J359" s="2"/>
      <c r="K359" s="84"/>
      <c r="L359" s="85"/>
      <c r="M359" s="85"/>
      <c r="N359" s="86"/>
      <c r="O359" s="86"/>
      <c r="P359" s="87"/>
      <c r="Q359" s="87"/>
      <c r="R359" s="160"/>
      <c r="S359" s="161"/>
      <c r="T359" s="161"/>
      <c r="U359" s="161"/>
      <c r="V359" s="200"/>
      <c r="W359" s="200"/>
      <c r="X359" s="361"/>
      <c r="Y359" s="373"/>
      <c r="Z359" s="373"/>
      <c r="AA359" s="370" t="e">
        <f t="shared" ca="1" si="275"/>
        <v>#NAME?</v>
      </c>
      <c r="AB359" s="181"/>
      <c r="AC359" s="182"/>
      <c r="AD359" s="182"/>
      <c r="AE359" s="178"/>
      <c r="AF359" s="178"/>
      <c r="AG359" s="178"/>
      <c r="AH359" s="178"/>
      <c r="AI359" s="181"/>
      <c r="AJ359" s="373"/>
      <c r="AK359" s="171"/>
      <c r="AL359" s="171"/>
      <c r="AM359" s="171"/>
      <c r="AN359" s="161"/>
      <c r="AO359" s="193"/>
      <c r="AP359" s="193" t="e">
        <f t="shared" ca="1" si="273"/>
        <v>#NAME?</v>
      </c>
      <c r="AQ359" s="200"/>
      <c r="AR359" s="204"/>
      <c r="AS359" s="204"/>
      <c r="AT359" s="204"/>
      <c r="AU359" s="204"/>
      <c r="AV359" s="204"/>
    </row>
    <row r="360" spans="1:48" ht="12" customHeight="1">
      <c r="A360" s="24"/>
      <c r="B360" s="24"/>
      <c r="C360" s="24"/>
      <c r="D360" s="24"/>
      <c r="E360" s="24"/>
      <c r="F360" s="24"/>
      <c r="G360" s="24"/>
      <c r="H360" s="281"/>
      <c r="I360" s="341"/>
      <c r="J360" s="281">
        <v>3</v>
      </c>
      <c r="K360" s="2" t="s">
        <v>224</v>
      </c>
      <c r="L360" s="112">
        <f t="shared" ref="L360:S360" si="287">L361+L378</f>
        <v>3155879</v>
      </c>
      <c r="M360" s="112">
        <f t="shared" si="287"/>
        <v>418857.12389674166</v>
      </c>
      <c r="N360" s="113">
        <f t="shared" si="287"/>
        <v>2968814</v>
      </c>
      <c r="O360" s="113">
        <f t="shared" si="287"/>
        <v>394029.3317406596</v>
      </c>
      <c r="P360" s="114">
        <f t="shared" si="287"/>
        <v>498120</v>
      </c>
      <c r="Q360" s="114">
        <f t="shared" si="287"/>
        <v>503600</v>
      </c>
      <c r="R360" s="88">
        <f t="shared" si="287"/>
        <v>469073</v>
      </c>
      <c r="S360" s="90" t="e">
        <f t="shared" ca="1" si="287"/>
        <v>#NAME?</v>
      </c>
      <c r="T360" s="90"/>
      <c r="U360" s="90"/>
      <c r="V360" s="200">
        <f>V361+V378</f>
        <v>601100</v>
      </c>
      <c r="W360" s="200">
        <f>W361+W378</f>
        <v>592971</v>
      </c>
      <c r="X360" s="88">
        <f>X361+X378</f>
        <v>687500</v>
      </c>
      <c r="Y360" s="171">
        <f>Y361+Y378</f>
        <v>458000</v>
      </c>
      <c r="Z360" s="171">
        <f>Z361+Z378</f>
        <v>0</v>
      </c>
      <c r="AA360" s="370" t="e">
        <f t="shared" ca="1" si="275"/>
        <v>#NAME?</v>
      </c>
      <c r="AB360" s="171"/>
      <c r="AC360" s="172">
        <f>AC361+AC378</f>
        <v>508250</v>
      </c>
      <c r="AD360" s="172">
        <f>AD361+AD378</f>
        <v>508250</v>
      </c>
      <c r="AE360" s="178">
        <f>O360/M360*100</f>
        <v>94.072491372451211</v>
      </c>
      <c r="AF360" s="178">
        <f>P360/O360*100</f>
        <v>126.41698469489837</v>
      </c>
      <c r="AG360" s="178">
        <f>Q360/P360*100</f>
        <v>101.10013651328997</v>
      </c>
      <c r="AH360" s="178">
        <f>AC360/Q360*100</f>
        <v>100.92335186656076</v>
      </c>
      <c r="AI360" s="171"/>
      <c r="AJ360" s="171">
        <v>458000</v>
      </c>
      <c r="AK360" s="171">
        <f t="shared" si="276"/>
        <v>126.41337275861113</v>
      </c>
      <c r="AL360" s="171">
        <f t="shared" si="277"/>
        <v>115.94158904904288</v>
      </c>
      <c r="AM360" s="171">
        <f t="shared" si="277"/>
        <v>66.618181818181824</v>
      </c>
      <c r="AN360" s="90"/>
      <c r="AO360" s="193"/>
      <c r="AP360" s="193" t="e">
        <f t="shared" ca="1" si="273"/>
        <v>#NAME?</v>
      </c>
      <c r="AQ360" s="200">
        <f>AQ361+AQ378</f>
        <v>549545.38</v>
      </c>
      <c r="AR360" s="204">
        <f t="shared" si="280"/>
        <v>128.14636527789918</v>
      </c>
      <c r="AS360" s="204">
        <f t="shared" si="281"/>
        <v>98.64764598236566</v>
      </c>
      <c r="AT360" s="204">
        <f t="shared" si="282"/>
        <v>126.41337275861113</v>
      </c>
      <c r="AU360" s="204">
        <f t="shared" si="283"/>
        <v>92.676603071651058</v>
      </c>
      <c r="AV360" s="204">
        <f t="shared" si="284"/>
        <v>117.15561970098472</v>
      </c>
    </row>
    <row r="361" spans="1:48" ht="12" customHeight="1">
      <c r="A361" s="301"/>
      <c r="B361" s="301"/>
      <c r="C361" s="301"/>
      <c r="D361" s="301"/>
      <c r="E361" s="301"/>
      <c r="F361" s="301"/>
      <c r="G361" s="301"/>
      <c r="H361" s="302"/>
      <c r="I361" s="342"/>
      <c r="J361" s="302">
        <v>31</v>
      </c>
      <c r="K361" s="343" t="s">
        <v>225</v>
      </c>
      <c r="L361" s="112">
        <f t="shared" ref="L361:S361" si="288">L363+L368+L372</f>
        <v>2323207</v>
      </c>
      <c r="M361" s="112">
        <f t="shared" si="288"/>
        <v>308342.55756851815</v>
      </c>
      <c r="N361" s="113">
        <f t="shared" si="288"/>
        <v>2133436</v>
      </c>
      <c r="O361" s="113">
        <f t="shared" si="288"/>
        <v>283155.61749286612</v>
      </c>
      <c r="P361" s="114">
        <f t="shared" si="288"/>
        <v>338520</v>
      </c>
      <c r="Q361" s="114">
        <f t="shared" si="288"/>
        <v>326900</v>
      </c>
      <c r="R361" s="88">
        <f t="shared" si="288"/>
        <v>317015</v>
      </c>
      <c r="S361" s="90" t="e">
        <f t="shared" ca="1" si="288"/>
        <v>#NAME?</v>
      </c>
      <c r="T361" s="90"/>
      <c r="U361" s="90"/>
      <c r="V361" s="200">
        <f>V363+V368+V372</f>
        <v>399000</v>
      </c>
      <c r="W361" s="200">
        <f>W363+W368+W372</f>
        <v>390871</v>
      </c>
      <c r="X361" s="88">
        <f>X363+X368+X372</f>
        <v>456000</v>
      </c>
      <c r="Y361" s="171">
        <f>Y363+Y368+Y372</f>
        <v>172000</v>
      </c>
      <c r="Z361" s="171">
        <f>Z363+Z368+Z372</f>
        <v>0</v>
      </c>
      <c r="AA361" s="370" t="e">
        <f t="shared" ca="1" si="275"/>
        <v>#NAME?</v>
      </c>
      <c r="AB361" s="171"/>
      <c r="AC361" s="172">
        <f>AC363+AC368+AC372</f>
        <v>344350</v>
      </c>
      <c r="AD361" s="172">
        <f>AD363+AD368+AD372</f>
        <v>344350</v>
      </c>
      <c r="AE361" s="178">
        <f>O361/M361*100</f>
        <v>91.831507050383365</v>
      </c>
      <c r="AF361" s="178">
        <f>P361/O361*100</f>
        <v>119.55263434197229</v>
      </c>
      <c r="AG361" s="178">
        <f>Q361/P361*100</f>
        <v>96.567411083540108</v>
      </c>
      <c r="AH361" s="178">
        <f>AC361/Q361*100</f>
        <v>105.33802386050779</v>
      </c>
      <c r="AI361" s="171"/>
      <c r="AJ361" s="171">
        <v>172000</v>
      </c>
      <c r="AK361" s="171">
        <f t="shared" si="276"/>
        <v>123.29732031607337</v>
      </c>
      <c r="AL361" s="171">
        <f t="shared" si="277"/>
        <v>116.66253060472638</v>
      </c>
      <c r="AM361" s="171">
        <f t="shared" si="277"/>
        <v>37.719298245614034</v>
      </c>
      <c r="AN361" s="90"/>
      <c r="AO361" s="193"/>
      <c r="AP361" s="193" t="e">
        <f t="shared" ca="1" si="273"/>
        <v>#NAME?</v>
      </c>
      <c r="AQ361" s="200">
        <f>AQ363+AQ368+AQ372</f>
        <v>356259.09</v>
      </c>
      <c r="AR361" s="204">
        <f t="shared" si="280"/>
        <v>125.86155229247828</v>
      </c>
      <c r="AS361" s="204">
        <f t="shared" si="281"/>
        <v>97.962656641604013</v>
      </c>
      <c r="AT361" s="204">
        <f t="shared" si="282"/>
        <v>123.29732031607337</v>
      </c>
      <c r="AU361" s="204">
        <f t="shared" si="283"/>
        <v>91.144927610388095</v>
      </c>
      <c r="AV361" s="204">
        <f t="shared" si="284"/>
        <v>112.37925334763339</v>
      </c>
    </row>
    <row r="362" spans="1:48" ht="12" customHeight="1">
      <c r="A362" s="42"/>
      <c r="B362" s="42"/>
      <c r="C362" s="42"/>
      <c r="D362" s="42"/>
      <c r="E362" s="42"/>
      <c r="F362" s="42"/>
      <c r="G362" s="42"/>
      <c r="H362" s="2"/>
      <c r="I362" s="14"/>
      <c r="J362" s="2"/>
      <c r="K362" s="84"/>
      <c r="L362" s="85">
        <v>1</v>
      </c>
      <c r="M362" s="85">
        <v>2</v>
      </c>
      <c r="N362" s="86">
        <v>3</v>
      </c>
      <c r="O362" s="86">
        <v>4</v>
      </c>
      <c r="P362" s="87">
        <v>5</v>
      </c>
      <c r="Q362" s="87">
        <v>6</v>
      </c>
      <c r="R362" s="160"/>
      <c r="S362" s="161"/>
      <c r="T362" s="161"/>
      <c r="U362" s="161"/>
      <c r="V362" s="200"/>
      <c r="W362" s="200"/>
      <c r="X362" s="361"/>
      <c r="Y362" s="373"/>
      <c r="Z362" s="373"/>
      <c r="AA362" s="370" t="e">
        <f t="shared" ca="1" si="275"/>
        <v>#NAME?</v>
      </c>
      <c r="AB362" s="181"/>
      <c r="AC362" s="182">
        <v>7</v>
      </c>
      <c r="AD362" s="182">
        <v>8</v>
      </c>
      <c r="AE362" s="182">
        <v>9</v>
      </c>
      <c r="AF362" s="182">
        <v>10</v>
      </c>
      <c r="AG362" s="182">
        <v>11</v>
      </c>
      <c r="AH362" s="182">
        <v>12</v>
      </c>
      <c r="AI362" s="181"/>
      <c r="AJ362" s="373"/>
      <c r="AK362" s="171"/>
      <c r="AL362" s="171"/>
      <c r="AM362" s="171"/>
      <c r="AN362" s="161"/>
      <c r="AO362" s="193"/>
      <c r="AP362" s="193" t="e">
        <f t="shared" ca="1" si="273"/>
        <v>#NAME?</v>
      </c>
      <c r="AQ362" s="200"/>
      <c r="AR362" s="204"/>
      <c r="AS362" s="204"/>
      <c r="AT362" s="204"/>
      <c r="AU362" s="204"/>
      <c r="AV362" s="204"/>
    </row>
    <row r="363" spans="1:48" ht="12" customHeight="1">
      <c r="A363" s="62"/>
      <c r="B363" s="62"/>
      <c r="C363" s="62"/>
      <c r="D363" s="62"/>
      <c r="E363" s="62"/>
      <c r="F363" s="62"/>
      <c r="G363" s="62"/>
      <c r="H363" s="303"/>
      <c r="I363" s="344"/>
      <c r="J363" s="303">
        <v>311</v>
      </c>
      <c r="K363" s="19" t="s">
        <v>333</v>
      </c>
      <c r="L363" s="112">
        <f t="shared" ref="L363:S363" si="289">L364+L365+L366</f>
        <v>1918087</v>
      </c>
      <c r="M363" s="112">
        <f t="shared" si="289"/>
        <v>254573.89342358481</v>
      </c>
      <c r="N363" s="113">
        <f t="shared" si="289"/>
        <v>1772906</v>
      </c>
      <c r="O363" s="113">
        <f t="shared" si="289"/>
        <v>235305.06337514101</v>
      </c>
      <c r="P363" s="114">
        <f t="shared" si="289"/>
        <v>277700</v>
      </c>
      <c r="Q363" s="114">
        <f t="shared" si="289"/>
        <v>267700</v>
      </c>
      <c r="R363" s="88">
        <f t="shared" si="289"/>
        <v>262448</v>
      </c>
      <c r="S363" s="90" t="e">
        <f t="shared" ca="1" si="289"/>
        <v>#NAME?</v>
      </c>
      <c r="T363" s="90"/>
      <c r="U363" s="90"/>
      <c r="V363" s="200">
        <f>V364+V365+V366</f>
        <v>325000</v>
      </c>
      <c r="W363" s="200">
        <f>W364+W365+W366</f>
        <v>316871</v>
      </c>
      <c r="X363" s="88">
        <f>X364+X365+X366</f>
        <v>365000</v>
      </c>
      <c r="Y363" s="171">
        <f>Y364+Y365+Y366</f>
        <v>47000</v>
      </c>
      <c r="Z363" s="171">
        <f>Z364+Z365+Z366</f>
        <v>0</v>
      </c>
      <c r="AA363" s="370" t="e">
        <f t="shared" ca="1" si="275"/>
        <v>#NAME?</v>
      </c>
      <c r="AB363" s="171"/>
      <c r="AC363" s="172">
        <f>AC364+AC365+AC366</f>
        <v>282700</v>
      </c>
      <c r="AD363" s="172">
        <f>AD364+AD365+AD366</f>
        <v>282700</v>
      </c>
      <c r="AE363" s="178">
        <f>O363/M363*100</f>
        <v>92.430948126961923</v>
      </c>
      <c r="AF363" s="178">
        <f t="shared" ref="AF363:AG365" si="290">P363/O363*100</f>
        <v>118.01700992607618</v>
      </c>
      <c r="AG363" s="178">
        <f t="shared" si="290"/>
        <v>96.398991717680943</v>
      </c>
      <c r="AH363" s="178">
        <f>AC363/Q363*100</f>
        <v>105.6032872618603</v>
      </c>
      <c r="AI363" s="171"/>
      <c r="AJ363" s="171">
        <v>47000</v>
      </c>
      <c r="AK363" s="171">
        <f t="shared" si="276"/>
        <v>120.73667926598792</v>
      </c>
      <c r="AL363" s="171">
        <f t="shared" si="277"/>
        <v>115.18883078602964</v>
      </c>
      <c r="AM363" s="171">
        <f t="shared" si="277"/>
        <v>12.876712328767123</v>
      </c>
      <c r="AN363" s="90"/>
      <c r="AO363" s="193"/>
      <c r="AP363" s="193" t="e">
        <f t="shared" ca="1" si="273"/>
        <v>#NAME?</v>
      </c>
      <c r="AQ363" s="200">
        <f>AQ364+AQ365+AQ366</f>
        <v>293403.28000000003</v>
      </c>
      <c r="AR363" s="204">
        <f t="shared" si="280"/>
        <v>123.83405474608304</v>
      </c>
      <c r="AS363" s="204">
        <f t="shared" si="281"/>
        <v>97.498769230769227</v>
      </c>
      <c r="AT363" s="204">
        <f t="shared" si="282"/>
        <v>120.73667926598792</v>
      </c>
      <c r="AU363" s="204">
        <f t="shared" si="283"/>
        <v>92.59391992324953</v>
      </c>
      <c r="AV363" s="204">
        <f t="shared" si="284"/>
        <v>111.79482411753949</v>
      </c>
    </row>
    <row r="364" spans="1:48" ht="12" customHeight="1">
      <c r="A364" s="53"/>
      <c r="B364" s="53"/>
      <c r="C364" s="53"/>
      <c r="D364" s="53"/>
      <c r="E364" s="53"/>
      <c r="F364" s="53"/>
      <c r="G364" s="53"/>
      <c r="H364" s="1">
        <v>1</v>
      </c>
      <c r="I364" s="345">
        <v>111</v>
      </c>
      <c r="J364" s="229">
        <v>3111</v>
      </c>
      <c r="K364" s="18" t="s">
        <v>227</v>
      </c>
      <c r="L364" s="130">
        <v>1894636</v>
      </c>
      <c r="M364" s="130">
        <f>1894636/7.5345</f>
        <v>251461.41084345343</v>
      </c>
      <c r="N364" s="131">
        <v>1772906</v>
      </c>
      <c r="O364" s="131">
        <f>N364/7.5345</f>
        <v>235305.06337514101</v>
      </c>
      <c r="P364" s="132">
        <v>275000</v>
      </c>
      <c r="Q364" s="163">
        <v>265000</v>
      </c>
      <c r="R364" s="159">
        <v>262448</v>
      </c>
      <c r="S364" s="165">
        <v>210994</v>
      </c>
      <c r="T364" s="165"/>
      <c r="U364" s="165"/>
      <c r="V364" s="200">
        <v>325000</v>
      </c>
      <c r="W364" s="200">
        <v>316871</v>
      </c>
      <c r="X364" s="164">
        <v>360000</v>
      </c>
      <c r="Y364" s="374">
        <v>42000</v>
      </c>
      <c r="Z364" s="374"/>
      <c r="AA364" s="375" t="e">
        <f t="shared" ca="1" si="275"/>
        <v>#NAME?</v>
      </c>
      <c r="AB364" s="376"/>
      <c r="AC364" s="377">
        <v>280000</v>
      </c>
      <c r="AD364" s="377">
        <v>280000</v>
      </c>
      <c r="AE364" s="377">
        <f>O364/M364*100</f>
        <v>93.575019159353033</v>
      </c>
      <c r="AF364" s="377">
        <f t="shared" si="290"/>
        <v>116.86956330454068</v>
      </c>
      <c r="AG364" s="377">
        <f t="shared" si="290"/>
        <v>96.36363636363636</v>
      </c>
      <c r="AH364" s="377">
        <f>AC364/Q364*100</f>
        <v>105.66037735849056</v>
      </c>
      <c r="AI364" s="376"/>
      <c r="AJ364" s="374">
        <v>42000</v>
      </c>
      <c r="AK364" s="171">
        <f t="shared" si="276"/>
        <v>120.73667926598792</v>
      </c>
      <c r="AL364" s="171">
        <f t="shared" si="277"/>
        <v>113.61090159717992</v>
      </c>
      <c r="AM364" s="171">
        <f t="shared" si="277"/>
        <v>11.666666666666666</v>
      </c>
      <c r="AN364" s="165"/>
      <c r="AO364" s="193"/>
      <c r="AP364" s="193" t="e">
        <f t="shared" ca="1" si="273"/>
        <v>#NAME?</v>
      </c>
      <c r="AQ364" s="200">
        <v>293403.28000000003</v>
      </c>
      <c r="AR364" s="204">
        <f t="shared" si="280"/>
        <v>123.83405474608304</v>
      </c>
      <c r="AS364" s="204">
        <f t="shared" si="281"/>
        <v>97.498769230769227</v>
      </c>
      <c r="AT364" s="204">
        <f t="shared" si="282"/>
        <v>120.73667926598792</v>
      </c>
      <c r="AU364" s="204">
        <f t="shared" si="283"/>
        <v>92.59391992324953</v>
      </c>
      <c r="AV364" s="204">
        <f t="shared" si="284"/>
        <v>111.79482411753949</v>
      </c>
    </row>
    <row r="365" spans="1:48" ht="12" customHeight="1">
      <c r="A365" s="53"/>
      <c r="B365" s="53"/>
      <c r="C365" s="53"/>
      <c r="D365" s="53"/>
      <c r="E365" s="53"/>
      <c r="F365" s="53"/>
      <c r="G365" s="53"/>
      <c r="H365" s="1" t="s">
        <v>334</v>
      </c>
      <c r="I365" s="345">
        <v>111</v>
      </c>
      <c r="J365" s="229">
        <v>3113</v>
      </c>
      <c r="K365" s="18" t="s">
        <v>228</v>
      </c>
      <c r="L365" s="130">
        <v>23451</v>
      </c>
      <c r="M365" s="130">
        <f>23451/7.5345</f>
        <v>3112.4825801313955</v>
      </c>
      <c r="N365" s="131">
        <v>0</v>
      </c>
      <c r="O365" s="131">
        <f>N365/7.5345</f>
        <v>0</v>
      </c>
      <c r="P365" s="132">
        <v>2700</v>
      </c>
      <c r="Q365" s="132">
        <v>2700</v>
      </c>
      <c r="R365" s="159">
        <v>0</v>
      </c>
      <c r="S365" s="165" t="e">
        <f ca="1">__xlfn.XLOOKUP(H365,[1]Izvršenje_proračuna_po_pozicija!$B$2:$B$153,[1]Izvršenje_proračuna_po_pozicija!$E$2:$E$153,0)</f>
        <v>#NAME?</v>
      </c>
      <c r="T365" s="165"/>
      <c r="U365" s="165"/>
      <c r="V365" s="200"/>
      <c r="W365" s="200"/>
      <c r="X365" s="164">
        <v>5000</v>
      </c>
      <c r="Y365" s="378">
        <v>5000</v>
      </c>
      <c r="Z365" s="378"/>
      <c r="AA365" s="370" t="e">
        <f t="shared" ca="1" si="275"/>
        <v>#NAME?</v>
      </c>
      <c r="AB365" s="183"/>
      <c r="AC365" s="178">
        <v>2700</v>
      </c>
      <c r="AD365" s="178">
        <v>2700</v>
      </c>
      <c r="AE365" s="178">
        <f>O365/M365*100</f>
        <v>0</v>
      </c>
      <c r="AF365" s="178" t="e">
        <f t="shared" si="290"/>
        <v>#DIV/0!</v>
      </c>
      <c r="AG365" s="178">
        <f t="shared" si="290"/>
        <v>100</v>
      </c>
      <c r="AH365" s="178">
        <f>AC365/Q365*100</f>
        <v>100</v>
      </c>
      <c r="AI365" s="183"/>
      <c r="AJ365" s="378">
        <v>5000</v>
      </c>
      <c r="AK365" s="171"/>
      <c r="AL365" s="171"/>
      <c r="AM365" s="171">
        <f t="shared" si="277"/>
        <v>100</v>
      </c>
      <c r="AN365" s="165"/>
      <c r="AO365" s="193"/>
      <c r="AP365" s="193" t="e">
        <f t="shared" ca="1" si="273"/>
        <v>#NAME?</v>
      </c>
      <c r="AQ365" s="200"/>
      <c r="AR365" s="204"/>
      <c r="AS365" s="204"/>
      <c r="AT365" s="204"/>
      <c r="AU365" s="204"/>
      <c r="AV365" s="204"/>
    </row>
    <row r="366" spans="1:48" ht="12" customHeight="1">
      <c r="A366" s="53"/>
      <c r="B366" s="53"/>
      <c r="C366" s="53"/>
      <c r="D366" s="53"/>
      <c r="E366" s="53"/>
      <c r="F366" s="53"/>
      <c r="G366" s="53"/>
      <c r="H366" s="1" t="s">
        <v>335</v>
      </c>
      <c r="I366" s="345">
        <v>111</v>
      </c>
      <c r="J366" s="229">
        <v>3111</v>
      </c>
      <c r="K366" s="18" t="s">
        <v>336</v>
      </c>
      <c r="L366" s="119"/>
      <c r="M366" s="119"/>
      <c r="N366" s="120"/>
      <c r="O366" s="120"/>
      <c r="P366" s="121"/>
      <c r="Q366" s="121"/>
      <c r="R366" s="157"/>
      <c r="S366" s="165" t="e">
        <f ca="1">__xlfn.XLOOKUP(H366,[1]Izvršenje_proračuna_po_pozicija!$B$2:$B$153,[1]Izvršenje_proračuna_po_pozicija!$E$2:$E$153,0)</f>
        <v>#NAME?</v>
      </c>
      <c r="T366" s="165"/>
      <c r="U366" s="165"/>
      <c r="V366" s="200"/>
      <c r="W366" s="200"/>
      <c r="X366" s="164"/>
      <c r="Y366" s="369"/>
      <c r="Z366" s="369"/>
      <c r="AA366" s="370" t="e">
        <f t="shared" ca="1" si="275"/>
        <v>#NAME?</v>
      </c>
      <c r="AB366" s="179"/>
      <c r="AC366" s="180"/>
      <c r="AD366" s="180"/>
      <c r="AE366" s="178"/>
      <c r="AF366" s="178"/>
      <c r="AG366" s="178"/>
      <c r="AH366" s="178"/>
      <c r="AI366" s="179"/>
      <c r="AJ366" s="369"/>
      <c r="AK366" s="171"/>
      <c r="AL366" s="171"/>
      <c r="AM366" s="171"/>
      <c r="AN366" s="158"/>
      <c r="AO366" s="193"/>
      <c r="AP366" s="193" t="e">
        <f t="shared" ca="1" si="273"/>
        <v>#NAME?</v>
      </c>
      <c r="AQ366" s="200"/>
      <c r="AR366" s="204"/>
      <c r="AS366" s="204"/>
      <c r="AT366" s="204"/>
      <c r="AU366" s="204"/>
      <c r="AV366" s="204"/>
    </row>
    <row r="367" spans="1:48" ht="12" customHeight="1">
      <c r="A367" s="53"/>
      <c r="B367" s="53"/>
      <c r="C367" s="53"/>
      <c r="D367" s="53"/>
      <c r="E367" s="53"/>
      <c r="F367" s="53"/>
      <c r="G367" s="53"/>
      <c r="H367" s="1"/>
      <c r="I367" s="345"/>
      <c r="J367" s="229"/>
      <c r="K367" s="18"/>
      <c r="L367" s="119"/>
      <c r="M367" s="119"/>
      <c r="N367" s="120"/>
      <c r="O367" s="120"/>
      <c r="P367" s="121"/>
      <c r="Q367" s="121"/>
      <c r="R367" s="157"/>
      <c r="S367" s="165" t="e">
        <f ca="1">__xlfn.XLOOKUP(H367,[1]Izvršenje_proračuna_po_pozicija!$B$2:$B$153,[1]Izvršenje_proračuna_po_pozicija!$E$2:$E$153,0)</f>
        <v>#NAME?</v>
      </c>
      <c r="T367" s="165"/>
      <c r="U367" s="165"/>
      <c r="V367" s="200"/>
      <c r="W367" s="200"/>
      <c r="X367" s="164"/>
      <c r="Y367" s="369"/>
      <c r="Z367" s="369"/>
      <c r="AA367" s="370" t="e">
        <f t="shared" ca="1" si="275"/>
        <v>#NAME?</v>
      </c>
      <c r="AB367" s="179"/>
      <c r="AC367" s="180"/>
      <c r="AD367" s="180"/>
      <c r="AE367" s="178"/>
      <c r="AF367" s="178"/>
      <c r="AG367" s="178"/>
      <c r="AH367" s="178"/>
      <c r="AI367" s="179"/>
      <c r="AJ367" s="369"/>
      <c r="AK367" s="171"/>
      <c r="AL367" s="171"/>
      <c r="AM367" s="171"/>
      <c r="AN367" s="158"/>
      <c r="AO367" s="193"/>
      <c r="AP367" s="193" t="e">
        <f t="shared" ca="1" si="273"/>
        <v>#NAME?</v>
      </c>
      <c r="AQ367" s="200"/>
      <c r="AR367" s="204"/>
      <c r="AS367" s="204"/>
      <c r="AT367" s="204"/>
      <c r="AU367" s="204"/>
      <c r="AV367" s="204"/>
    </row>
    <row r="368" spans="1:48" ht="12" customHeight="1">
      <c r="A368" s="62"/>
      <c r="B368" s="62"/>
      <c r="C368" s="62"/>
      <c r="D368" s="62"/>
      <c r="E368" s="62"/>
      <c r="F368" s="62"/>
      <c r="G368" s="62"/>
      <c r="H368" s="304"/>
      <c r="I368" s="346"/>
      <c r="J368" s="303">
        <v>312</v>
      </c>
      <c r="K368" s="19" t="s">
        <v>337</v>
      </c>
      <c r="L368" s="112">
        <f t="shared" ref="L368:S368" si="291">L369+L370</f>
        <v>89154</v>
      </c>
      <c r="M368" s="112">
        <f t="shared" si="291"/>
        <v>11832.769261397571</v>
      </c>
      <c r="N368" s="113">
        <f t="shared" si="291"/>
        <v>68000</v>
      </c>
      <c r="O368" s="113">
        <f t="shared" si="291"/>
        <v>9025.1509721945713</v>
      </c>
      <c r="P368" s="114">
        <f t="shared" si="291"/>
        <v>15000</v>
      </c>
      <c r="Q368" s="114">
        <f t="shared" si="291"/>
        <v>15000</v>
      </c>
      <c r="R368" s="88">
        <f t="shared" si="291"/>
        <v>11263</v>
      </c>
      <c r="S368" s="90" t="e">
        <f t="shared" ca="1" si="291"/>
        <v>#NAME?</v>
      </c>
      <c r="T368" s="90"/>
      <c r="U368" s="90"/>
      <c r="V368" s="200">
        <f>V369+V370</f>
        <v>20000</v>
      </c>
      <c r="W368" s="200">
        <f>W369+W370</f>
        <v>20000</v>
      </c>
      <c r="X368" s="88">
        <f>X369+X370</f>
        <v>25000</v>
      </c>
      <c r="Y368" s="171">
        <f>Y369+Y370</f>
        <v>35000</v>
      </c>
      <c r="Z368" s="171">
        <f>Z369+Z370</f>
        <v>0</v>
      </c>
      <c r="AA368" s="370" t="e">
        <f t="shared" ca="1" si="275"/>
        <v>#NAME?</v>
      </c>
      <c r="AB368" s="171"/>
      <c r="AC368" s="172">
        <f>AC369+AC370</f>
        <v>15000</v>
      </c>
      <c r="AD368" s="172">
        <f>AD369+AD370</f>
        <v>15000</v>
      </c>
      <c r="AE368" s="178">
        <f>O368/M368*100</f>
        <v>76.272517217399098</v>
      </c>
      <c r="AF368" s="178">
        <f>P368/O368*100</f>
        <v>166.20220588235296</v>
      </c>
      <c r="AG368" s="178">
        <f>Q368/P368*100</f>
        <v>100</v>
      </c>
      <c r="AH368" s="178">
        <f>AC368/Q368*100</f>
        <v>100</v>
      </c>
      <c r="AI368" s="171"/>
      <c r="AJ368" s="171">
        <v>35000</v>
      </c>
      <c r="AK368" s="171">
        <f t="shared" si="276"/>
        <v>177.57258279321672</v>
      </c>
      <c r="AL368" s="171">
        <f t="shared" si="277"/>
        <v>125</v>
      </c>
      <c r="AM368" s="171">
        <f t="shared" si="277"/>
        <v>140</v>
      </c>
      <c r="AN368" s="90"/>
      <c r="AO368" s="193"/>
      <c r="AP368" s="193" t="e">
        <f t="shared" ca="1" si="273"/>
        <v>#NAME?</v>
      </c>
      <c r="AQ368" s="200">
        <f>AQ369+AQ370</f>
        <v>14444.33</v>
      </c>
      <c r="AR368" s="204">
        <f t="shared" si="280"/>
        <v>177.57258279321672</v>
      </c>
      <c r="AS368" s="204">
        <f t="shared" si="281"/>
        <v>100</v>
      </c>
      <c r="AT368" s="204">
        <f t="shared" si="282"/>
        <v>177.57258279321672</v>
      </c>
      <c r="AU368" s="204">
        <f t="shared" si="283"/>
        <v>72.221650000000011</v>
      </c>
      <c r="AV368" s="204">
        <f t="shared" si="284"/>
        <v>128.24584924087722</v>
      </c>
    </row>
    <row r="369" spans="1:48" ht="12" customHeight="1">
      <c r="A369" s="53"/>
      <c r="B369" s="53"/>
      <c r="C369" s="53"/>
      <c r="D369" s="53"/>
      <c r="E369" s="53"/>
      <c r="F369" s="53"/>
      <c r="G369" s="53"/>
      <c r="H369" s="1">
        <v>4</v>
      </c>
      <c r="I369" s="345">
        <v>111</v>
      </c>
      <c r="J369" s="229">
        <v>3121</v>
      </c>
      <c r="K369" s="18" t="s">
        <v>229</v>
      </c>
      <c r="L369" s="130">
        <v>89154</v>
      </c>
      <c r="M369" s="130">
        <f>89154/7.5345</f>
        <v>11832.769261397571</v>
      </c>
      <c r="N369" s="131">
        <v>68000</v>
      </c>
      <c r="O369" s="131">
        <f>N369/7.5345</f>
        <v>9025.1509721945713</v>
      </c>
      <c r="P369" s="132">
        <v>15000</v>
      </c>
      <c r="Q369" s="132">
        <v>15000</v>
      </c>
      <c r="R369" s="159">
        <v>11263</v>
      </c>
      <c r="S369" s="165">
        <v>1085</v>
      </c>
      <c r="T369" s="165"/>
      <c r="U369" s="165"/>
      <c r="V369" s="200">
        <v>20000</v>
      </c>
      <c r="W369" s="200">
        <v>20000</v>
      </c>
      <c r="X369" s="164">
        <v>25000</v>
      </c>
      <c r="Y369" s="378">
        <v>35000</v>
      </c>
      <c r="Z369" s="378"/>
      <c r="AA369" s="370" t="e">
        <f t="shared" ca="1" si="275"/>
        <v>#NAME?</v>
      </c>
      <c r="AB369" s="183"/>
      <c r="AC369" s="178">
        <v>15000</v>
      </c>
      <c r="AD369" s="178">
        <v>15000</v>
      </c>
      <c r="AE369" s="178">
        <f>O369/M369*100</f>
        <v>76.272517217399098</v>
      </c>
      <c r="AF369" s="178">
        <f>P369/O369*100</f>
        <v>166.20220588235296</v>
      </c>
      <c r="AG369" s="178">
        <f>Q369/P369*100</f>
        <v>100</v>
      </c>
      <c r="AH369" s="178">
        <f>AC369/Q369*100</f>
        <v>100</v>
      </c>
      <c r="AI369" s="183"/>
      <c r="AJ369" s="378">
        <v>35000</v>
      </c>
      <c r="AK369" s="171">
        <f t="shared" si="276"/>
        <v>177.57258279321672</v>
      </c>
      <c r="AL369" s="171">
        <f t="shared" si="277"/>
        <v>125</v>
      </c>
      <c r="AM369" s="171">
        <f t="shared" si="277"/>
        <v>140</v>
      </c>
      <c r="AN369" s="165"/>
      <c r="AO369" s="193"/>
      <c r="AP369" s="193" t="e">
        <f t="shared" ca="1" si="273"/>
        <v>#NAME?</v>
      </c>
      <c r="AQ369" s="200">
        <v>14444.33</v>
      </c>
      <c r="AR369" s="204">
        <f t="shared" si="280"/>
        <v>177.57258279321672</v>
      </c>
      <c r="AS369" s="204">
        <f t="shared" si="281"/>
        <v>100</v>
      </c>
      <c r="AT369" s="204">
        <f t="shared" si="282"/>
        <v>177.57258279321672</v>
      </c>
      <c r="AU369" s="204">
        <f t="shared" si="283"/>
        <v>72.221650000000011</v>
      </c>
      <c r="AV369" s="204">
        <f t="shared" si="284"/>
        <v>128.24584924087722</v>
      </c>
    </row>
    <row r="370" spans="1:48" ht="12" customHeight="1">
      <c r="A370" s="53"/>
      <c r="B370" s="53"/>
      <c r="C370" s="53"/>
      <c r="D370" s="53"/>
      <c r="E370" s="53"/>
      <c r="F370" s="53"/>
      <c r="G370" s="53"/>
      <c r="H370" s="1" t="s">
        <v>338</v>
      </c>
      <c r="I370" s="345">
        <v>111</v>
      </c>
      <c r="J370" s="229">
        <v>3121</v>
      </c>
      <c r="K370" s="18" t="s">
        <v>339</v>
      </c>
      <c r="L370" s="119"/>
      <c r="M370" s="119"/>
      <c r="N370" s="120"/>
      <c r="O370" s="120"/>
      <c r="P370" s="121"/>
      <c r="Q370" s="121"/>
      <c r="R370" s="157"/>
      <c r="S370" s="165" t="e">
        <f ca="1">__xlfn.XLOOKUP(H370,[1]Izvršenje_proračuna_po_pozicija!$B$2:$B$153,[1]Izvršenje_proračuna_po_pozicija!$E$2:$E$153,0)</f>
        <v>#NAME?</v>
      </c>
      <c r="T370" s="165"/>
      <c r="U370" s="165"/>
      <c r="V370" s="200"/>
      <c r="W370" s="200"/>
      <c r="X370" s="164"/>
      <c r="Y370" s="369"/>
      <c r="Z370" s="369"/>
      <c r="AA370" s="370" t="e">
        <f t="shared" ca="1" si="275"/>
        <v>#NAME?</v>
      </c>
      <c r="AB370" s="179"/>
      <c r="AC370" s="180"/>
      <c r="AD370" s="180"/>
      <c r="AE370" s="178"/>
      <c r="AF370" s="178"/>
      <c r="AG370" s="178"/>
      <c r="AH370" s="178"/>
      <c r="AI370" s="179"/>
      <c r="AJ370" s="369"/>
      <c r="AK370" s="171"/>
      <c r="AL370" s="171"/>
      <c r="AM370" s="171"/>
      <c r="AN370" s="158"/>
      <c r="AO370" s="193"/>
      <c r="AP370" s="193" t="e">
        <f t="shared" ca="1" si="273"/>
        <v>#NAME?</v>
      </c>
      <c r="AQ370" s="200"/>
      <c r="AR370" s="204"/>
      <c r="AS370" s="204"/>
      <c r="AT370" s="204"/>
      <c r="AU370" s="204"/>
      <c r="AV370" s="204"/>
    </row>
    <row r="371" spans="1:48" ht="12" customHeight="1">
      <c r="A371" s="53"/>
      <c r="B371" s="53"/>
      <c r="C371" s="53"/>
      <c r="D371" s="53"/>
      <c r="E371" s="53"/>
      <c r="F371" s="53"/>
      <c r="G371" s="53"/>
      <c r="H371" s="1"/>
      <c r="I371" s="345"/>
      <c r="J371" s="229"/>
      <c r="K371" s="18"/>
      <c r="L371" s="119"/>
      <c r="M371" s="119"/>
      <c r="N371" s="120"/>
      <c r="O371" s="120"/>
      <c r="P371" s="121"/>
      <c r="Q371" s="121"/>
      <c r="R371" s="157"/>
      <c r="S371" s="165" t="e">
        <f ca="1">__xlfn.XLOOKUP(H371,[1]Izvršenje_proračuna_po_pozicija!$B$2:$B$153,[1]Izvršenje_proračuna_po_pozicija!$E$2:$E$153,0)</f>
        <v>#NAME?</v>
      </c>
      <c r="T371" s="165"/>
      <c r="U371" s="165"/>
      <c r="V371" s="200"/>
      <c r="W371" s="200"/>
      <c r="X371" s="164"/>
      <c r="Y371" s="369"/>
      <c r="Z371" s="369"/>
      <c r="AA371" s="370" t="e">
        <f t="shared" ca="1" si="275"/>
        <v>#NAME?</v>
      </c>
      <c r="AB371" s="179"/>
      <c r="AC371" s="180"/>
      <c r="AD371" s="180"/>
      <c r="AE371" s="178"/>
      <c r="AF371" s="178"/>
      <c r="AG371" s="178"/>
      <c r="AH371" s="178"/>
      <c r="AI371" s="179"/>
      <c r="AJ371" s="369"/>
      <c r="AK371" s="171"/>
      <c r="AL371" s="171"/>
      <c r="AM371" s="171"/>
      <c r="AN371" s="158"/>
      <c r="AO371" s="193"/>
      <c r="AP371" s="193" t="e">
        <f t="shared" ca="1" si="273"/>
        <v>#NAME?</v>
      </c>
      <c r="AQ371" s="200"/>
      <c r="AR371" s="204"/>
      <c r="AS371" s="204"/>
      <c r="AT371" s="204"/>
      <c r="AU371" s="204"/>
      <c r="AV371" s="204"/>
    </row>
    <row r="372" spans="1:48" ht="12" customHeight="1">
      <c r="A372" s="62"/>
      <c r="B372" s="62"/>
      <c r="C372" s="62"/>
      <c r="D372" s="62"/>
      <c r="E372" s="62"/>
      <c r="F372" s="62"/>
      <c r="G372" s="62"/>
      <c r="H372" s="304"/>
      <c r="I372" s="346"/>
      <c r="J372" s="303">
        <v>313</v>
      </c>
      <c r="K372" s="19" t="s">
        <v>340</v>
      </c>
      <c r="L372" s="112">
        <f t="shared" ref="L372:S372" si="292">L373+L374+L375+L376</f>
        <v>315966</v>
      </c>
      <c r="M372" s="112">
        <f t="shared" si="292"/>
        <v>41935.894883535737</v>
      </c>
      <c r="N372" s="113">
        <f t="shared" si="292"/>
        <v>292530</v>
      </c>
      <c r="O372" s="113">
        <f t="shared" si="292"/>
        <v>38825.403145530559</v>
      </c>
      <c r="P372" s="114">
        <f t="shared" si="292"/>
        <v>45820</v>
      </c>
      <c r="Q372" s="114">
        <f t="shared" si="292"/>
        <v>44200</v>
      </c>
      <c r="R372" s="88">
        <f t="shared" si="292"/>
        <v>43304</v>
      </c>
      <c r="S372" s="90" t="e">
        <f t="shared" ca="1" si="292"/>
        <v>#NAME?</v>
      </c>
      <c r="T372" s="90"/>
      <c r="U372" s="90"/>
      <c r="V372" s="200">
        <f>V373+V374+V375+V376</f>
        <v>54000</v>
      </c>
      <c r="W372" s="200">
        <f>W373+W374+W375+W376</f>
        <v>54000</v>
      </c>
      <c r="X372" s="88">
        <f>X373+X374+X375+X376</f>
        <v>66000</v>
      </c>
      <c r="Y372" s="171">
        <f>Y373+Y374+Y375+Y376</f>
        <v>90000</v>
      </c>
      <c r="Z372" s="171">
        <f>Z373+Z374+Z375+Z376</f>
        <v>0</v>
      </c>
      <c r="AA372" s="370" t="e">
        <f t="shared" ca="1" si="275"/>
        <v>#NAME?</v>
      </c>
      <c r="AB372" s="171"/>
      <c r="AC372" s="172">
        <f>AC373+AC374+AC375+AC376</f>
        <v>46650</v>
      </c>
      <c r="AD372" s="172">
        <f>AD373+AD374+AD375+AD376</f>
        <v>46650</v>
      </c>
      <c r="AE372" s="178">
        <f>O372/M372*100</f>
        <v>92.582746244849119</v>
      </c>
      <c r="AF372" s="178">
        <f>P372/O372*100</f>
        <v>118.01551635729668</v>
      </c>
      <c r="AG372" s="178">
        <f>Q372/P372*100</f>
        <v>96.464426014840683</v>
      </c>
      <c r="AH372" s="178">
        <f>AC372/Q372*100</f>
        <v>105.54298642533936</v>
      </c>
      <c r="AI372" s="171"/>
      <c r="AJ372" s="171">
        <v>90000</v>
      </c>
      <c r="AK372" s="171">
        <f t="shared" si="276"/>
        <v>124.69979678551636</v>
      </c>
      <c r="AL372" s="171">
        <f t="shared" si="277"/>
        <v>122.22222222222223</v>
      </c>
      <c r="AM372" s="171">
        <f t="shared" si="277"/>
        <v>136.36363636363635</v>
      </c>
      <c r="AN372" s="90"/>
      <c r="AO372" s="193"/>
      <c r="AP372" s="193" t="e">
        <f t="shared" ca="1" si="273"/>
        <v>#NAME?</v>
      </c>
      <c r="AQ372" s="200">
        <f>AQ373+AQ374+AQ375+AQ376</f>
        <v>48411.48</v>
      </c>
      <c r="AR372" s="204">
        <f t="shared" si="280"/>
        <v>124.69979678551636</v>
      </c>
      <c r="AS372" s="204">
        <f t="shared" si="281"/>
        <v>100</v>
      </c>
      <c r="AT372" s="204">
        <f t="shared" si="282"/>
        <v>124.69979678551636</v>
      </c>
      <c r="AU372" s="204">
        <f t="shared" si="283"/>
        <v>89.650888888888886</v>
      </c>
      <c r="AV372" s="204">
        <f t="shared" si="284"/>
        <v>111.7944762608535</v>
      </c>
    </row>
    <row r="373" spans="1:48" ht="12" customHeight="1">
      <c r="A373" s="53"/>
      <c r="B373" s="53"/>
      <c r="C373" s="53"/>
      <c r="D373" s="53"/>
      <c r="E373" s="53"/>
      <c r="F373" s="53"/>
      <c r="G373" s="53"/>
      <c r="H373" s="1">
        <v>6</v>
      </c>
      <c r="I373" s="345">
        <v>111</v>
      </c>
      <c r="J373" s="229">
        <v>3132</v>
      </c>
      <c r="K373" s="18" t="s">
        <v>341</v>
      </c>
      <c r="L373" s="130">
        <v>315966</v>
      </c>
      <c r="M373" s="130">
        <f>315966/7.5345</f>
        <v>41935.894883535737</v>
      </c>
      <c r="N373" s="131">
        <v>292530</v>
      </c>
      <c r="O373" s="131">
        <f>N373/7.5345</f>
        <v>38825.403145530559</v>
      </c>
      <c r="P373" s="132">
        <v>45820</v>
      </c>
      <c r="Q373" s="163">
        <v>44200</v>
      </c>
      <c r="R373" s="159">
        <v>43304</v>
      </c>
      <c r="S373" s="165">
        <v>34814</v>
      </c>
      <c r="T373" s="165"/>
      <c r="U373" s="165"/>
      <c r="V373" s="200">
        <v>54000</v>
      </c>
      <c r="W373" s="200">
        <v>54000</v>
      </c>
      <c r="X373" s="164">
        <v>66000</v>
      </c>
      <c r="Y373" s="378">
        <v>90000</v>
      </c>
      <c r="Z373" s="378"/>
      <c r="AA373" s="370" t="e">
        <f t="shared" ca="1" si="275"/>
        <v>#NAME?</v>
      </c>
      <c r="AB373" s="183"/>
      <c r="AC373" s="178">
        <v>46650</v>
      </c>
      <c r="AD373" s="178">
        <v>46650</v>
      </c>
      <c r="AE373" s="178">
        <f>O373/M373*100</f>
        <v>92.582746244849119</v>
      </c>
      <c r="AF373" s="178">
        <f>P373/O373*100</f>
        <v>118.01551635729668</v>
      </c>
      <c r="AG373" s="178">
        <f>Q373/P373*100</f>
        <v>96.464426014840683</v>
      </c>
      <c r="AH373" s="178">
        <f>AC373/Q373*100</f>
        <v>105.54298642533936</v>
      </c>
      <c r="AI373" s="183"/>
      <c r="AJ373" s="378">
        <v>90000</v>
      </c>
      <c r="AK373" s="171">
        <f t="shared" si="276"/>
        <v>124.69979678551636</v>
      </c>
      <c r="AL373" s="171">
        <f t="shared" si="277"/>
        <v>122.22222222222223</v>
      </c>
      <c r="AM373" s="171">
        <f t="shared" si="277"/>
        <v>136.36363636363635</v>
      </c>
      <c r="AN373" s="165"/>
      <c r="AO373" s="193"/>
      <c r="AP373" s="193" t="e">
        <f t="shared" ca="1" si="273"/>
        <v>#NAME?</v>
      </c>
      <c r="AQ373" s="200">
        <v>48411.48</v>
      </c>
      <c r="AR373" s="204">
        <f t="shared" si="280"/>
        <v>124.69979678551636</v>
      </c>
      <c r="AS373" s="204">
        <f t="shared" si="281"/>
        <v>100</v>
      </c>
      <c r="AT373" s="204">
        <f t="shared" si="282"/>
        <v>124.69979678551636</v>
      </c>
      <c r="AU373" s="204">
        <f t="shared" si="283"/>
        <v>89.650888888888886</v>
      </c>
      <c r="AV373" s="204">
        <f t="shared" si="284"/>
        <v>111.7944762608535</v>
      </c>
    </row>
    <row r="374" spans="1:48" ht="12" customHeight="1">
      <c r="A374" s="53"/>
      <c r="B374" s="53"/>
      <c r="C374" s="53"/>
      <c r="D374" s="53"/>
      <c r="E374" s="53"/>
      <c r="F374" s="53"/>
      <c r="G374" s="53"/>
      <c r="H374" s="1">
        <v>7</v>
      </c>
      <c r="I374" s="345">
        <v>111</v>
      </c>
      <c r="J374" s="229">
        <v>3133</v>
      </c>
      <c r="K374" s="18" t="s">
        <v>232</v>
      </c>
      <c r="L374" s="130"/>
      <c r="M374" s="130"/>
      <c r="N374" s="131"/>
      <c r="O374" s="131"/>
      <c r="P374" s="132"/>
      <c r="Q374" s="132"/>
      <c r="R374" s="159"/>
      <c r="S374" s="165" t="e">
        <f ca="1">__xlfn.XLOOKUP(H374,[1]Izvršenje_proračuna_po_pozicija!$B$2:$B$153,[1]Izvršenje_proračuna_po_pozicija!$E$2:$E$153,0)</f>
        <v>#NAME?</v>
      </c>
      <c r="T374" s="165"/>
      <c r="U374" s="165"/>
      <c r="V374" s="200"/>
      <c r="W374" s="200"/>
      <c r="X374" s="164"/>
      <c r="Y374" s="378"/>
      <c r="Z374" s="378"/>
      <c r="AA374" s="370" t="e">
        <f t="shared" ca="1" si="275"/>
        <v>#NAME?</v>
      </c>
      <c r="AB374" s="183"/>
      <c r="AC374" s="178">
        <v>0</v>
      </c>
      <c r="AD374" s="178">
        <v>0</v>
      </c>
      <c r="AE374" s="178"/>
      <c r="AF374" s="178"/>
      <c r="AG374" s="178"/>
      <c r="AH374" s="178"/>
      <c r="AI374" s="183"/>
      <c r="AJ374" s="378"/>
      <c r="AK374" s="171"/>
      <c r="AL374" s="171"/>
      <c r="AM374" s="171"/>
      <c r="AN374" s="165"/>
      <c r="AO374" s="193"/>
      <c r="AP374" s="193" t="e">
        <f t="shared" ca="1" si="273"/>
        <v>#NAME?</v>
      </c>
      <c r="AQ374" s="200"/>
      <c r="AR374" s="204"/>
      <c r="AS374" s="204"/>
      <c r="AT374" s="204"/>
      <c r="AU374" s="204"/>
      <c r="AV374" s="204"/>
    </row>
    <row r="375" spans="1:48" ht="12" customHeight="1">
      <c r="A375" s="53"/>
      <c r="B375" s="53"/>
      <c r="C375" s="53"/>
      <c r="D375" s="53"/>
      <c r="E375" s="53"/>
      <c r="F375" s="53"/>
      <c r="G375" s="53"/>
      <c r="H375" s="1" t="s">
        <v>342</v>
      </c>
      <c r="I375" s="345">
        <v>111</v>
      </c>
      <c r="J375" s="229">
        <v>3132</v>
      </c>
      <c r="K375" s="18" t="s">
        <v>343</v>
      </c>
      <c r="L375" s="130"/>
      <c r="M375" s="130"/>
      <c r="N375" s="131"/>
      <c r="O375" s="131"/>
      <c r="P375" s="132"/>
      <c r="Q375" s="132"/>
      <c r="R375" s="159"/>
      <c r="S375" s="165" t="e">
        <f ca="1">__xlfn.XLOOKUP(H375,[1]Izvršenje_proračuna_po_pozicija!$B$2:$B$153,[1]Izvršenje_proračuna_po_pozicija!$E$2:$E$153,0)</f>
        <v>#NAME?</v>
      </c>
      <c r="T375" s="165"/>
      <c r="U375" s="165"/>
      <c r="V375" s="200"/>
      <c r="W375" s="200"/>
      <c r="X375" s="164"/>
      <c r="Y375" s="378"/>
      <c r="Z375" s="378"/>
      <c r="AA375" s="370" t="e">
        <f t="shared" ca="1" si="275"/>
        <v>#NAME?</v>
      </c>
      <c r="AB375" s="183"/>
      <c r="AC375" s="178"/>
      <c r="AD375" s="178"/>
      <c r="AE375" s="178"/>
      <c r="AF375" s="178"/>
      <c r="AG375" s="178"/>
      <c r="AH375" s="178"/>
      <c r="AI375" s="183"/>
      <c r="AJ375" s="378"/>
      <c r="AK375" s="171"/>
      <c r="AL375" s="171"/>
      <c r="AM375" s="171"/>
      <c r="AN375" s="165"/>
      <c r="AO375" s="193"/>
      <c r="AP375" s="193" t="e">
        <f t="shared" ca="1" si="273"/>
        <v>#NAME?</v>
      </c>
      <c r="AQ375" s="200"/>
      <c r="AR375" s="204"/>
      <c r="AS375" s="204"/>
      <c r="AT375" s="204"/>
      <c r="AU375" s="204"/>
      <c r="AV375" s="204"/>
    </row>
    <row r="376" spans="1:48" ht="12" customHeight="1">
      <c r="A376" s="305"/>
      <c r="B376" s="305"/>
      <c r="C376" s="305"/>
      <c r="D376" s="305"/>
      <c r="E376" s="305"/>
      <c r="F376" s="305"/>
      <c r="G376" s="305"/>
      <c r="H376" s="306" t="s">
        <v>344</v>
      </c>
      <c r="I376" s="13">
        <v>111</v>
      </c>
      <c r="J376" s="4">
        <v>3133</v>
      </c>
      <c r="K376" s="229" t="s">
        <v>345</v>
      </c>
      <c r="L376" s="347"/>
      <c r="M376" s="347"/>
      <c r="N376" s="348"/>
      <c r="O376" s="348"/>
      <c r="P376" s="349"/>
      <c r="Q376" s="349"/>
      <c r="R376" s="362"/>
      <c r="S376" s="165" t="e">
        <f ca="1">__xlfn.XLOOKUP(H376,[1]Izvršenje_proračuna_po_pozicija!$B$2:$B$153,[1]Izvršenje_proračuna_po_pozicija!$E$2:$E$153,0)</f>
        <v>#NAME?</v>
      </c>
      <c r="T376" s="165"/>
      <c r="U376" s="165"/>
      <c r="V376" s="200"/>
      <c r="W376" s="200"/>
      <c r="X376" s="166"/>
      <c r="Y376" s="379"/>
      <c r="Z376" s="379"/>
      <c r="AA376" s="370" t="e">
        <f t="shared" ca="1" si="275"/>
        <v>#NAME?</v>
      </c>
      <c r="AB376" s="380"/>
      <c r="AC376" s="381"/>
      <c r="AD376" s="381"/>
      <c r="AE376" s="178"/>
      <c r="AF376" s="178"/>
      <c r="AG376" s="178"/>
      <c r="AH376" s="178"/>
      <c r="AI376" s="380"/>
      <c r="AJ376" s="379"/>
      <c r="AK376" s="171"/>
      <c r="AL376" s="171"/>
      <c r="AM376" s="171"/>
      <c r="AN376" s="384"/>
      <c r="AO376" s="193"/>
      <c r="AP376" s="193" t="e">
        <f t="shared" ca="1" si="273"/>
        <v>#NAME?</v>
      </c>
      <c r="AQ376" s="200"/>
      <c r="AR376" s="204"/>
      <c r="AS376" s="204"/>
      <c r="AT376" s="204"/>
      <c r="AU376" s="204"/>
      <c r="AV376" s="204"/>
    </row>
    <row r="377" spans="1:48" ht="12" customHeight="1">
      <c r="A377" s="305"/>
      <c r="B377" s="305"/>
      <c r="C377" s="305"/>
      <c r="D377" s="305"/>
      <c r="E377" s="305"/>
      <c r="F377" s="305"/>
      <c r="G377" s="305"/>
      <c r="H377" s="306"/>
      <c r="I377" s="13"/>
      <c r="J377" s="4"/>
      <c r="K377" s="229"/>
      <c r="L377" s="347"/>
      <c r="M377" s="347"/>
      <c r="N377" s="348"/>
      <c r="O377" s="348"/>
      <c r="P377" s="349"/>
      <c r="Q377" s="349"/>
      <c r="R377" s="362"/>
      <c r="S377" s="165" t="e">
        <f ca="1">__xlfn.XLOOKUP(H377,[1]Izvršenje_proračuna_po_pozicija!$B$2:$B$153,[1]Izvršenje_proračuna_po_pozicija!$E$2:$E$153,0)</f>
        <v>#NAME?</v>
      </c>
      <c r="T377" s="165"/>
      <c r="U377" s="165"/>
      <c r="V377" s="200"/>
      <c r="W377" s="200"/>
      <c r="X377" s="166"/>
      <c r="Y377" s="379"/>
      <c r="Z377" s="379"/>
      <c r="AA377" s="370" t="e">
        <f t="shared" ca="1" si="275"/>
        <v>#NAME?</v>
      </c>
      <c r="AB377" s="380"/>
      <c r="AC377" s="381"/>
      <c r="AD377" s="381"/>
      <c r="AE377" s="178"/>
      <c r="AF377" s="178"/>
      <c r="AG377" s="178"/>
      <c r="AH377" s="178"/>
      <c r="AI377" s="380"/>
      <c r="AJ377" s="379"/>
      <c r="AK377" s="171"/>
      <c r="AL377" s="171"/>
      <c r="AM377" s="171"/>
      <c r="AN377" s="384"/>
      <c r="AO377" s="193"/>
      <c r="AP377" s="193" t="e">
        <f t="shared" ca="1" si="273"/>
        <v>#NAME?</v>
      </c>
      <c r="AQ377" s="200"/>
      <c r="AR377" s="204"/>
      <c r="AS377" s="204"/>
      <c r="AT377" s="204"/>
      <c r="AU377" s="204"/>
      <c r="AV377" s="204"/>
    </row>
    <row r="378" spans="1:48" ht="12" customHeight="1">
      <c r="A378" s="301"/>
      <c r="B378" s="301"/>
      <c r="C378" s="301"/>
      <c r="D378" s="301"/>
      <c r="E378" s="301"/>
      <c r="F378" s="301"/>
      <c r="G378" s="301"/>
      <c r="H378" s="307"/>
      <c r="I378" s="350"/>
      <c r="J378" s="302">
        <v>32</v>
      </c>
      <c r="K378" s="343" t="s">
        <v>233</v>
      </c>
      <c r="L378" s="112">
        <f t="shared" ref="L378:S378" si="293">L380+L386+L393+L402+L405</f>
        <v>832672</v>
      </c>
      <c r="M378" s="112">
        <f t="shared" si="293"/>
        <v>110514.56632822349</v>
      </c>
      <c r="N378" s="113">
        <f t="shared" si="293"/>
        <v>835378</v>
      </c>
      <c r="O378" s="113">
        <f t="shared" si="293"/>
        <v>110873.71424779347</v>
      </c>
      <c r="P378" s="114">
        <f t="shared" si="293"/>
        <v>159600</v>
      </c>
      <c r="Q378" s="114">
        <f t="shared" si="293"/>
        <v>176700</v>
      </c>
      <c r="R378" s="88">
        <f t="shared" si="293"/>
        <v>152058</v>
      </c>
      <c r="S378" s="90" t="e">
        <f t="shared" ca="1" si="293"/>
        <v>#NAME?</v>
      </c>
      <c r="T378" s="90"/>
      <c r="U378" s="90"/>
      <c r="V378" s="200">
        <f>V380+V386+V393+V402+V405</f>
        <v>202100</v>
      </c>
      <c r="W378" s="200">
        <f>W380+W386+W393+W402+W405</f>
        <v>202100</v>
      </c>
      <c r="X378" s="88">
        <f>X380+X386+X393+X402+X405</f>
        <v>231500</v>
      </c>
      <c r="Y378" s="171">
        <f>Y380+Y386+Y393+Y402+Y405</f>
        <v>286000</v>
      </c>
      <c r="Z378" s="171">
        <f>Z380+Z386+Z393+Z402+Z405</f>
        <v>0</v>
      </c>
      <c r="AA378" s="370" t="e">
        <f t="shared" ca="1" si="275"/>
        <v>#NAME?</v>
      </c>
      <c r="AB378" s="171"/>
      <c r="AC378" s="172">
        <f>AC380+AC386+AC393+AC402+AC405</f>
        <v>163900</v>
      </c>
      <c r="AD378" s="172">
        <f>AD380+AD386+AD393+AD402+AD405</f>
        <v>163900</v>
      </c>
      <c r="AE378" s="178">
        <f>O378/M378*100</f>
        <v>100.3249779024634</v>
      </c>
      <c r="AF378" s="178">
        <f>P378/O378*100</f>
        <v>143.9475542808166</v>
      </c>
      <c r="AG378" s="178">
        <f>Q378/P378*100</f>
        <v>110.71428571428572</v>
      </c>
      <c r="AH378" s="178">
        <f>AC378/Q378*100</f>
        <v>92.756083757781553</v>
      </c>
      <c r="AI378" s="171"/>
      <c r="AJ378" s="171">
        <v>286000</v>
      </c>
      <c r="AK378" s="171">
        <f t="shared" si="276"/>
        <v>132.90981073011613</v>
      </c>
      <c r="AL378" s="171">
        <f t="shared" si="277"/>
        <v>114.54725383473527</v>
      </c>
      <c r="AM378" s="171">
        <f t="shared" si="277"/>
        <v>123.54211663066954</v>
      </c>
      <c r="AN378" s="90"/>
      <c r="AO378" s="193"/>
      <c r="AP378" s="193" t="e">
        <f t="shared" ca="1" si="273"/>
        <v>#NAME?</v>
      </c>
      <c r="AQ378" s="200">
        <f>AQ380+AQ386+AQ393+AQ402+AQ405</f>
        <v>193286.28999999998</v>
      </c>
      <c r="AR378" s="204">
        <f t="shared" si="280"/>
        <v>132.90981073011613</v>
      </c>
      <c r="AS378" s="204">
        <f t="shared" si="281"/>
        <v>100</v>
      </c>
      <c r="AT378" s="204">
        <f t="shared" si="282"/>
        <v>132.90981073011613</v>
      </c>
      <c r="AU378" s="204">
        <f t="shared" si="283"/>
        <v>95.638936170212759</v>
      </c>
      <c r="AV378" s="204">
        <f t="shared" si="284"/>
        <v>127.11352904812637</v>
      </c>
    </row>
    <row r="379" spans="1:48" ht="12" customHeight="1">
      <c r="A379" s="42"/>
      <c r="B379" s="42"/>
      <c r="C379" s="42"/>
      <c r="D379" s="42"/>
      <c r="E379" s="42"/>
      <c r="F379" s="42"/>
      <c r="G379" s="42"/>
      <c r="H379" s="308"/>
      <c r="I379" s="14"/>
      <c r="J379" s="2"/>
      <c r="K379" s="84"/>
      <c r="L379" s="85"/>
      <c r="M379" s="85"/>
      <c r="N379" s="86"/>
      <c r="O379" s="86"/>
      <c r="P379" s="87"/>
      <c r="Q379" s="87"/>
      <c r="R379" s="160"/>
      <c r="S379" s="165" t="e">
        <f ca="1">__xlfn.XLOOKUP(H379,[1]Izvršenje_proračuna_po_pozicija!$B$2:$B$153,[1]Izvršenje_proračuna_po_pozicija!$E$2:$E$153,0)</f>
        <v>#NAME?</v>
      </c>
      <c r="T379" s="165"/>
      <c r="U379" s="165"/>
      <c r="V379" s="200"/>
      <c r="W379" s="200"/>
      <c r="X379" s="361"/>
      <c r="Y379" s="373"/>
      <c r="Z379" s="373"/>
      <c r="AA379" s="370" t="e">
        <f t="shared" ca="1" si="275"/>
        <v>#NAME?</v>
      </c>
      <c r="AB379" s="181"/>
      <c r="AC379" s="182"/>
      <c r="AD379" s="182"/>
      <c r="AE379" s="178"/>
      <c r="AF379" s="178"/>
      <c r="AG379" s="178"/>
      <c r="AH379" s="178"/>
      <c r="AI379" s="181"/>
      <c r="AJ379" s="373"/>
      <c r="AK379" s="171"/>
      <c r="AL379" s="171"/>
      <c r="AM379" s="171"/>
      <c r="AN379" s="161"/>
      <c r="AO379" s="193"/>
      <c r="AP379" s="193" t="e">
        <f t="shared" ca="1" si="273"/>
        <v>#NAME?</v>
      </c>
      <c r="AQ379" s="200"/>
      <c r="AR379" s="204"/>
      <c r="AS379" s="204"/>
      <c r="AT379" s="204"/>
      <c r="AU379" s="204"/>
      <c r="AV379" s="204"/>
    </row>
    <row r="380" spans="1:48" ht="12" customHeight="1">
      <c r="A380" s="62"/>
      <c r="B380" s="62"/>
      <c r="C380" s="62"/>
      <c r="D380" s="62"/>
      <c r="E380" s="62"/>
      <c r="F380" s="62"/>
      <c r="G380" s="62"/>
      <c r="H380" s="304"/>
      <c r="I380" s="346"/>
      <c r="J380" s="303">
        <v>321</v>
      </c>
      <c r="K380" s="19" t="s">
        <v>346</v>
      </c>
      <c r="L380" s="112">
        <f t="shared" ref="L380:S380" si="294">L381+L382+L383+L384</f>
        <v>59045</v>
      </c>
      <c r="M380" s="112">
        <f t="shared" si="294"/>
        <v>7836.6182228415955</v>
      </c>
      <c r="N380" s="113">
        <f t="shared" si="294"/>
        <v>92141</v>
      </c>
      <c r="O380" s="113">
        <f t="shared" si="294"/>
        <v>12229.212290132058</v>
      </c>
      <c r="P380" s="114">
        <f t="shared" si="294"/>
        <v>16600</v>
      </c>
      <c r="Q380" s="114">
        <f t="shared" si="294"/>
        <v>19300</v>
      </c>
      <c r="R380" s="88">
        <f t="shared" si="294"/>
        <v>16211</v>
      </c>
      <c r="S380" s="90" t="e">
        <f t="shared" ca="1" si="294"/>
        <v>#NAME?</v>
      </c>
      <c r="T380" s="90"/>
      <c r="U380" s="90"/>
      <c r="V380" s="200">
        <f>V381+V382+V383+V384</f>
        <v>25000</v>
      </c>
      <c r="W380" s="200">
        <f>W381+W382+W383+W384</f>
        <v>25000</v>
      </c>
      <c r="X380" s="88">
        <f>X381+X382+X383+X384</f>
        <v>29500</v>
      </c>
      <c r="Y380" s="171">
        <f>Y381+Y382+Y383+Y384</f>
        <v>41000</v>
      </c>
      <c r="Z380" s="171">
        <f>Z381+Z382+Z383+Z384</f>
        <v>0</v>
      </c>
      <c r="AA380" s="370" t="e">
        <f t="shared" ca="1" si="275"/>
        <v>#NAME?</v>
      </c>
      <c r="AB380" s="171"/>
      <c r="AC380" s="172">
        <f>AC381+AC382+AC383+AC384</f>
        <v>16800</v>
      </c>
      <c r="AD380" s="172">
        <f>AD381+AD382+AD383+AD384</f>
        <v>16800</v>
      </c>
      <c r="AE380" s="178">
        <f>O380/M380*100</f>
        <v>156.0521636040308</v>
      </c>
      <c r="AF380" s="178">
        <f t="shared" ref="AF380:AG384" si="295">P380/O380*100</f>
        <v>135.74054980953105</v>
      </c>
      <c r="AG380" s="178">
        <f t="shared" si="295"/>
        <v>116.26506024096386</v>
      </c>
      <c r="AH380" s="178">
        <f>AC380/Q380*100</f>
        <v>87.046632124352328</v>
      </c>
      <c r="AI380" s="171"/>
      <c r="AJ380" s="171">
        <v>41000</v>
      </c>
      <c r="AK380" s="171">
        <f t="shared" si="276"/>
        <v>154.21627290111653</v>
      </c>
      <c r="AL380" s="171">
        <f t="shared" si="277"/>
        <v>118</v>
      </c>
      <c r="AM380" s="171">
        <f t="shared" si="277"/>
        <v>138.98305084745763</v>
      </c>
      <c r="AN380" s="90"/>
      <c r="AO380" s="193"/>
      <c r="AP380" s="193" t="e">
        <f t="shared" ca="1" si="273"/>
        <v>#NAME?</v>
      </c>
      <c r="AQ380" s="200">
        <f>AQ381+AQ382+AQ383+AQ384</f>
        <v>26059.260000000002</v>
      </c>
      <c r="AR380" s="204">
        <f t="shared" si="280"/>
        <v>154.21627290111653</v>
      </c>
      <c r="AS380" s="204">
        <f t="shared" si="281"/>
        <v>100</v>
      </c>
      <c r="AT380" s="204">
        <f t="shared" si="282"/>
        <v>154.21627290111653</v>
      </c>
      <c r="AU380" s="204">
        <f t="shared" si="283"/>
        <v>104.23704000000001</v>
      </c>
      <c r="AV380" s="204">
        <f t="shared" si="284"/>
        <v>160.75047807044601</v>
      </c>
    </row>
    <row r="381" spans="1:48" ht="12" customHeight="1">
      <c r="A381" s="53"/>
      <c r="B381" s="53"/>
      <c r="C381" s="53"/>
      <c r="D381" s="53"/>
      <c r="E381" s="53"/>
      <c r="F381" s="53"/>
      <c r="G381" s="53"/>
      <c r="H381" s="1">
        <v>8</v>
      </c>
      <c r="I381" s="345">
        <v>111</v>
      </c>
      <c r="J381" s="229">
        <v>3211</v>
      </c>
      <c r="K381" s="18" t="s">
        <v>235</v>
      </c>
      <c r="L381" s="130">
        <v>27917</v>
      </c>
      <c r="M381" s="130">
        <f>27917/7.5345</f>
        <v>3705.2226425111153</v>
      </c>
      <c r="N381" s="131">
        <v>58424</v>
      </c>
      <c r="O381" s="131">
        <f>N381/7.5345</f>
        <v>7754.1973588161118</v>
      </c>
      <c r="P381" s="132">
        <v>9300</v>
      </c>
      <c r="Q381" s="163">
        <v>12000</v>
      </c>
      <c r="R381" s="159">
        <v>8430</v>
      </c>
      <c r="S381" s="165">
        <v>9495</v>
      </c>
      <c r="T381" s="165"/>
      <c r="U381" s="165"/>
      <c r="V381" s="200">
        <v>12000</v>
      </c>
      <c r="W381" s="200">
        <v>12000</v>
      </c>
      <c r="X381" s="164">
        <v>14000</v>
      </c>
      <c r="Y381" s="378">
        <v>18000</v>
      </c>
      <c r="Z381" s="378"/>
      <c r="AA381" s="370" t="e">
        <f t="shared" ca="1" si="275"/>
        <v>#NAME?</v>
      </c>
      <c r="AB381" s="183"/>
      <c r="AC381" s="178">
        <v>9500</v>
      </c>
      <c r="AD381" s="178">
        <v>9500</v>
      </c>
      <c r="AE381" s="178">
        <f>O381/M381*100</f>
        <v>209.27750116416522</v>
      </c>
      <c r="AF381" s="178">
        <f t="shared" si="295"/>
        <v>119.93504381760923</v>
      </c>
      <c r="AG381" s="178">
        <f t="shared" si="295"/>
        <v>129.03225806451613</v>
      </c>
      <c r="AH381" s="178">
        <f>AC381/Q381*100</f>
        <v>79.166666666666657</v>
      </c>
      <c r="AI381" s="183"/>
      <c r="AJ381" s="378">
        <v>18000</v>
      </c>
      <c r="AK381" s="171">
        <f t="shared" si="276"/>
        <v>142.34875444839858</v>
      </c>
      <c r="AL381" s="171">
        <f t="shared" si="277"/>
        <v>116.66666666666667</v>
      </c>
      <c r="AM381" s="171">
        <f t="shared" si="277"/>
        <v>128.57142857142858</v>
      </c>
      <c r="AN381" s="165"/>
      <c r="AO381" s="193"/>
      <c r="AP381" s="193" t="e">
        <f t="shared" ca="1" si="273"/>
        <v>#NAME?</v>
      </c>
      <c r="AQ381" s="200">
        <v>11957.54</v>
      </c>
      <c r="AR381" s="204">
        <f t="shared" si="280"/>
        <v>142.34875444839858</v>
      </c>
      <c r="AS381" s="204">
        <f t="shared" si="281"/>
        <v>100</v>
      </c>
      <c r="AT381" s="204">
        <f t="shared" si="282"/>
        <v>142.34875444839858</v>
      </c>
      <c r="AU381" s="204">
        <f t="shared" si="283"/>
        <v>99.646166666666673</v>
      </c>
      <c r="AV381" s="204">
        <f t="shared" si="284"/>
        <v>141.84507710557534</v>
      </c>
    </row>
    <row r="382" spans="1:48" ht="12" customHeight="1">
      <c r="A382" s="53"/>
      <c r="B382" s="53"/>
      <c r="C382" s="53"/>
      <c r="D382" s="53"/>
      <c r="E382" s="53"/>
      <c r="F382" s="53"/>
      <c r="G382" s="53"/>
      <c r="H382" s="1">
        <v>9</v>
      </c>
      <c r="I382" s="345">
        <v>111</v>
      </c>
      <c r="J382" s="229">
        <v>3212</v>
      </c>
      <c r="K382" s="18" t="s">
        <v>347</v>
      </c>
      <c r="L382" s="130">
        <v>22600</v>
      </c>
      <c r="M382" s="130">
        <f>22600/7.5345</f>
        <v>2999.5354701705487</v>
      </c>
      <c r="N382" s="131">
        <v>22728</v>
      </c>
      <c r="O382" s="131">
        <f>N382/7.5345</f>
        <v>3016.523989647621</v>
      </c>
      <c r="P382" s="132">
        <v>4000</v>
      </c>
      <c r="Q382" s="132">
        <v>4000</v>
      </c>
      <c r="R382" s="159">
        <v>5010</v>
      </c>
      <c r="S382" s="165">
        <v>4176</v>
      </c>
      <c r="T382" s="165"/>
      <c r="U382" s="165"/>
      <c r="V382" s="200">
        <v>6000</v>
      </c>
      <c r="W382" s="200">
        <v>6000</v>
      </c>
      <c r="X382" s="164">
        <v>7000</v>
      </c>
      <c r="Y382" s="378">
        <v>10000</v>
      </c>
      <c r="Z382" s="378"/>
      <c r="AA382" s="370" t="e">
        <f t="shared" ca="1" si="275"/>
        <v>#NAME?</v>
      </c>
      <c r="AB382" s="183"/>
      <c r="AC382" s="178">
        <v>4000</v>
      </c>
      <c r="AD382" s="178">
        <v>4000</v>
      </c>
      <c r="AE382" s="178">
        <f>O382/M382*100</f>
        <v>100.56637168141593</v>
      </c>
      <c r="AF382" s="178">
        <f t="shared" si="295"/>
        <v>132.60295670538542</v>
      </c>
      <c r="AG382" s="178">
        <f t="shared" si="295"/>
        <v>100</v>
      </c>
      <c r="AH382" s="178">
        <f>AC382/Q382*100</f>
        <v>100</v>
      </c>
      <c r="AI382" s="183"/>
      <c r="AJ382" s="378">
        <v>10000</v>
      </c>
      <c r="AK382" s="171">
        <f t="shared" si="276"/>
        <v>119.76047904191616</v>
      </c>
      <c r="AL382" s="171">
        <f t="shared" si="277"/>
        <v>116.66666666666667</v>
      </c>
      <c r="AM382" s="171">
        <f t="shared" si="277"/>
        <v>142.85714285714286</v>
      </c>
      <c r="AN382" s="165"/>
      <c r="AO382" s="193"/>
      <c r="AP382" s="193" t="e">
        <f t="shared" ca="1" si="273"/>
        <v>#NAME?</v>
      </c>
      <c r="AQ382" s="200">
        <v>7585.7</v>
      </c>
      <c r="AR382" s="204">
        <f t="shared" si="280"/>
        <v>119.76047904191616</v>
      </c>
      <c r="AS382" s="204">
        <f t="shared" si="281"/>
        <v>100</v>
      </c>
      <c r="AT382" s="204">
        <f t="shared" si="282"/>
        <v>119.76047904191616</v>
      </c>
      <c r="AU382" s="204">
        <f t="shared" si="283"/>
        <v>126.42833333333331</v>
      </c>
      <c r="AV382" s="204">
        <f t="shared" si="284"/>
        <v>151.41117764471056</v>
      </c>
    </row>
    <row r="383" spans="1:48" ht="12" customHeight="1">
      <c r="A383" s="53"/>
      <c r="B383" s="53"/>
      <c r="C383" s="53"/>
      <c r="D383" s="53"/>
      <c r="E383" s="53"/>
      <c r="F383" s="53"/>
      <c r="G383" s="53"/>
      <c r="H383" s="309">
        <v>10</v>
      </c>
      <c r="I383" s="351">
        <v>111</v>
      </c>
      <c r="J383" s="352">
        <v>3213</v>
      </c>
      <c r="K383" s="353" t="s">
        <v>237</v>
      </c>
      <c r="L383" s="354">
        <v>3350</v>
      </c>
      <c r="M383" s="354">
        <f>3350/7.5345</f>
        <v>444.62140818899724</v>
      </c>
      <c r="N383" s="355">
        <v>2790</v>
      </c>
      <c r="O383" s="131">
        <f>N383/7.5345</f>
        <v>370.29663547680667</v>
      </c>
      <c r="P383" s="356">
        <v>1300</v>
      </c>
      <c r="Q383" s="356">
        <v>1300</v>
      </c>
      <c r="R383" s="363">
        <v>1485</v>
      </c>
      <c r="S383" s="165">
        <v>3776</v>
      </c>
      <c r="T383" s="364"/>
      <c r="U383" s="364"/>
      <c r="V383" s="200">
        <v>5000</v>
      </c>
      <c r="W383" s="200">
        <v>5000</v>
      </c>
      <c r="X383" s="365">
        <v>6000</v>
      </c>
      <c r="Y383" s="382">
        <v>10000</v>
      </c>
      <c r="Z383" s="382"/>
      <c r="AA383" s="370" t="e">
        <f t="shared" ca="1" si="275"/>
        <v>#NAME?</v>
      </c>
      <c r="AB383" s="383"/>
      <c r="AC383" s="366">
        <v>1300</v>
      </c>
      <c r="AD383" s="366">
        <v>1300</v>
      </c>
      <c r="AE383" s="178">
        <f>O383/M383*100</f>
        <v>83.28358208955224</v>
      </c>
      <c r="AF383" s="178">
        <f t="shared" si="295"/>
        <v>351.06989247311827</v>
      </c>
      <c r="AG383" s="178">
        <f t="shared" si="295"/>
        <v>100</v>
      </c>
      <c r="AH383" s="178">
        <f>AC383/Q383*100</f>
        <v>100</v>
      </c>
      <c r="AI383" s="383"/>
      <c r="AJ383" s="382">
        <v>10000</v>
      </c>
      <c r="AK383" s="171">
        <f t="shared" si="276"/>
        <v>336.70033670033672</v>
      </c>
      <c r="AL383" s="171">
        <f t="shared" si="277"/>
        <v>120</v>
      </c>
      <c r="AM383" s="171">
        <f t="shared" si="277"/>
        <v>166.66666666666669</v>
      </c>
      <c r="AN383" s="364"/>
      <c r="AO383" s="193"/>
      <c r="AP383" s="193" t="e">
        <f t="shared" ca="1" si="273"/>
        <v>#NAME?</v>
      </c>
      <c r="AQ383" s="200">
        <v>4081.5</v>
      </c>
      <c r="AR383" s="204">
        <f t="shared" si="280"/>
        <v>336.70033670033672</v>
      </c>
      <c r="AS383" s="204">
        <f t="shared" si="281"/>
        <v>100</v>
      </c>
      <c r="AT383" s="204">
        <f t="shared" si="282"/>
        <v>336.70033670033672</v>
      </c>
      <c r="AU383" s="204">
        <f t="shared" si="283"/>
        <v>81.63</v>
      </c>
      <c r="AV383" s="204">
        <f t="shared" si="284"/>
        <v>274.84848484848487</v>
      </c>
    </row>
    <row r="384" spans="1:48" ht="12" customHeight="1">
      <c r="A384" s="305"/>
      <c r="B384" s="305"/>
      <c r="C384" s="305"/>
      <c r="D384" s="305"/>
      <c r="E384" s="305"/>
      <c r="F384" s="305"/>
      <c r="G384" s="305"/>
      <c r="H384" s="309" t="s">
        <v>348</v>
      </c>
      <c r="I384" s="351">
        <v>111</v>
      </c>
      <c r="J384" s="352">
        <v>3214</v>
      </c>
      <c r="K384" s="353" t="s">
        <v>349</v>
      </c>
      <c r="L384" s="354">
        <v>5178</v>
      </c>
      <c r="M384" s="354">
        <f>5178/7.5345</f>
        <v>687.23870197093368</v>
      </c>
      <c r="N384" s="355">
        <v>8199</v>
      </c>
      <c r="O384" s="131">
        <f>N384/7.5345</f>
        <v>1088.194306191519</v>
      </c>
      <c r="P384" s="356">
        <v>2000</v>
      </c>
      <c r="Q384" s="356">
        <v>2000</v>
      </c>
      <c r="R384" s="363">
        <v>1286</v>
      </c>
      <c r="S384" s="165" t="e">
        <f ca="1">__xlfn.XLOOKUP(H384,[1]Izvršenje_proračuna_po_pozicija!$B$2:$B$153,[1]Izvršenje_proračuna_po_pozicija!$E$2:$E$153,0)</f>
        <v>#NAME?</v>
      </c>
      <c r="T384" s="364"/>
      <c r="U384" s="364"/>
      <c r="V384" s="200">
        <v>2000</v>
      </c>
      <c r="W384" s="200">
        <v>2000</v>
      </c>
      <c r="X384" s="365">
        <v>2500</v>
      </c>
      <c r="Y384" s="382">
        <v>3000</v>
      </c>
      <c r="Z384" s="382"/>
      <c r="AA384" s="370" t="e">
        <f t="shared" ca="1" si="275"/>
        <v>#NAME?</v>
      </c>
      <c r="AB384" s="383"/>
      <c r="AC384" s="366">
        <v>2000</v>
      </c>
      <c r="AD384" s="366">
        <v>2000</v>
      </c>
      <c r="AE384" s="178">
        <f>O384/M384*100</f>
        <v>158.34298957126305</v>
      </c>
      <c r="AF384" s="178">
        <f t="shared" si="295"/>
        <v>183.79070618368095</v>
      </c>
      <c r="AG384" s="178">
        <f t="shared" si="295"/>
        <v>100</v>
      </c>
      <c r="AH384" s="178">
        <f>AC384/Q384*100</f>
        <v>100</v>
      </c>
      <c r="AI384" s="383"/>
      <c r="AJ384" s="382">
        <v>3000</v>
      </c>
      <c r="AK384" s="171">
        <f t="shared" si="276"/>
        <v>155.52099533437013</v>
      </c>
      <c r="AL384" s="171">
        <f t="shared" si="277"/>
        <v>125</v>
      </c>
      <c r="AM384" s="171">
        <f t="shared" si="277"/>
        <v>120</v>
      </c>
      <c r="AN384" s="364"/>
      <c r="AO384" s="193"/>
      <c r="AP384" s="193" t="e">
        <f t="shared" ca="1" si="273"/>
        <v>#NAME?</v>
      </c>
      <c r="AQ384" s="200">
        <v>2434.52</v>
      </c>
      <c r="AR384" s="204">
        <f t="shared" si="280"/>
        <v>155.52099533437013</v>
      </c>
      <c r="AS384" s="204">
        <f t="shared" si="281"/>
        <v>100</v>
      </c>
      <c r="AT384" s="204">
        <f t="shared" si="282"/>
        <v>155.52099533437013</v>
      </c>
      <c r="AU384" s="204">
        <f t="shared" si="283"/>
        <v>121.726</v>
      </c>
      <c r="AV384" s="204">
        <f t="shared" si="284"/>
        <v>189.30948678071539</v>
      </c>
    </row>
    <row r="385" spans="1:48" ht="12" customHeight="1">
      <c r="A385" s="305"/>
      <c r="B385" s="305"/>
      <c r="C385" s="305"/>
      <c r="D385" s="305"/>
      <c r="E385" s="305"/>
      <c r="F385" s="305"/>
      <c r="G385" s="305"/>
      <c r="H385" s="1"/>
      <c r="I385" s="397"/>
      <c r="J385" s="229"/>
      <c r="K385" s="18"/>
      <c r="L385" s="130"/>
      <c r="M385" s="130"/>
      <c r="N385" s="131"/>
      <c r="O385" s="131"/>
      <c r="P385" s="132"/>
      <c r="Q385" s="132"/>
      <c r="R385" s="159"/>
      <c r="S385" s="165" t="e">
        <f ca="1">__xlfn.XLOOKUP(H385,[1]Izvršenje_proračuna_po_pozicija!$B$2:$B$153,[1]Izvršenje_proračuna_po_pozicija!$E$2:$E$153,0)</f>
        <v>#NAME?</v>
      </c>
      <c r="T385" s="165"/>
      <c r="U385" s="165"/>
      <c r="V385" s="200"/>
      <c r="W385" s="200"/>
      <c r="X385" s="164"/>
      <c r="Y385" s="378"/>
      <c r="Z385" s="378"/>
      <c r="AA385" s="370" t="e">
        <f t="shared" ca="1" si="275"/>
        <v>#NAME?</v>
      </c>
      <c r="AB385" s="183"/>
      <c r="AC385" s="178"/>
      <c r="AD385" s="178"/>
      <c r="AE385" s="178"/>
      <c r="AF385" s="178"/>
      <c r="AG385" s="178"/>
      <c r="AH385" s="178"/>
      <c r="AI385" s="183"/>
      <c r="AJ385" s="378"/>
      <c r="AK385" s="171"/>
      <c r="AL385" s="171"/>
      <c r="AM385" s="171"/>
      <c r="AN385" s="165"/>
      <c r="AO385" s="193"/>
      <c r="AP385" s="193" t="e">
        <f t="shared" ca="1" si="273"/>
        <v>#NAME?</v>
      </c>
      <c r="AQ385" s="200"/>
      <c r="AR385" s="204"/>
      <c r="AS385" s="204"/>
      <c r="AT385" s="204"/>
      <c r="AU385" s="204"/>
      <c r="AV385" s="204"/>
    </row>
    <row r="386" spans="1:48" ht="12" customHeight="1">
      <c r="A386" s="62"/>
      <c r="B386" s="62"/>
      <c r="C386" s="62"/>
      <c r="D386" s="62"/>
      <c r="E386" s="62"/>
      <c r="F386" s="62"/>
      <c r="G386" s="62"/>
      <c r="H386" s="388"/>
      <c r="I386" s="398"/>
      <c r="J386" s="399">
        <v>322</v>
      </c>
      <c r="K386" s="400" t="s">
        <v>350</v>
      </c>
      <c r="L386" s="335">
        <f t="shared" ref="L386:S386" si="296">L387+L388+L389+L390+L391</f>
        <v>110945</v>
      </c>
      <c r="M386" s="335">
        <f t="shared" si="296"/>
        <v>14724.931979560686</v>
      </c>
      <c r="N386" s="336">
        <f t="shared" si="296"/>
        <v>77168</v>
      </c>
      <c r="O386" s="336">
        <f t="shared" si="296"/>
        <v>10241.953679739861</v>
      </c>
      <c r="P386" s="337">
        <f t="shared" si="296"/>
        <v>17500</v>
      </c>
      <c r="Q386" s="337">
        <f t="shared" si="296"/>
        <v>28900</v>
      </c>
      <c r="R386" s="359">
        <f t="shared" si="296"/>
        <v>34501</v>
      </c>
      <c r="S386" s="360" t="e">
        <f t="shared" ca="1" si="296"/>
        <v>#NAME?</v>
      </c>
      <c r="T386" s="360"/>
      <c r="U386" s="360"/>
      <c r="V386" s="200">
        <f>V387+V388+V389+V390+V391</f>
        <v>32600</v>
      </c>
      <c r="W386" s="200">
        <f>W387+W388+W389+W390+W391</f>
        <v>32600</v>
      </c>
      <c r="X386" s="359">
        <f>X387+X388+X389+X390+X391</f>
        <v>37000</v>
      </c>
      <c r="Y386" s="371">
        <f>Y387+Y388+Y389+Y390+Y391</f>
        <v>48000</v>
      </c>
      <c r="Z386" s="371">
        <f>Z387+Z388+Z389+Z390+Z391</f>
        <v>0</v>
      </c>
      <c r="AA386" s="370" t="e">
        <f t="shared" ca="1" si="275"/>
        <v>#NAME?</v>
      </c>
      <c r="AB386" s="371"/>
      <c r="AC386" s="372">
        <f>AC387+AC388+AC389+AC390+AC391</f>
        <v>18100</v>
      </c>
      <c r="AD386" s="372">
        <f>AD387+AD388+AD389+AD390+AD391</f>
        <v>18100</v>
      </c>
      <c r="AE386" s="178">
        <f>O386/M386*100</f>
        <v>69.555185001577343</v>
      </c>
      <c r="AF386" s="178">
        <f t="shared" ref="AF386:AG389" si="297">P386/O386*100</f>
        <v>170.86583817126274</v>
      </c>
      <c r="AG386" s="178">
        <f t="shared" si="297"/>
        <v>165.14285714285714</v>
      </c>
      <c r="AH386" s="178">
        <f>AC386/Q386*100</f>
        <v>62.629757785467135</v>
      </c>
      <c r="AI386" s="371"/>
      <c r="AJ386" s="371">
        <v>48000</v>
      </c>
      <c r="AK386" s="171">
        <f t="shared" si="276"/>
        <v>94.490014782180225</v>
      </c>
      <c r="AL386" s="171">
        <f t="shared" si="277"/>
        <v>113.49693251533743</v>
      </c>
      <c r="AM386" s="171">
        <f t="shared" si="277"/>
        <v>129.72972972972974</v>
      </c>
      <c r="AN386" s="360"/>
      <c r="AO386" s="193"/>
      <c r="AP386" s="193" t="e">
        <f t="shared" ca="1" si="273"/>
        <v>#NAME?</v>
      </c>
      <c r="AQ386" s="200">
        <f>AQ387+AQ388+AQ389+AQ390+AQ391</f>
        <v>24877.949999999997</v>
      </c>
      <c r="AR386" s="204">
        <f t="shared" si="280"/>
        <v>94.490014782180225</v>
      </c>
      <c r="AS386" s="204">
        <f t="shared" si="281"/>
        <v>100</v>
      </c>
      <c r="AT386" s="204">
        <f t="shared" si="282"/>
        <v>94.490014782180225</v>
      </c>
      <c r="AU386" s="204">
        <f t="shared" si="283"/>
        <v>76.312730061349683</v>
      </c>
      <c r="AV386" s="204">
        <f t="shared" si="284"/>
        <v>72.107909915654616</v>
      </c>
    </row>
    <row r="387" spans="1:48" ht="12" customHeight="1">
      <c r="A387" s="53"/>
      <c r="B387" s="53"/>
      <c r="C387" s="53"/>
      <c r="D387" s="53"/>
      <c r="E387" s="53"/>
      <c r="F387" s="53"/>
      <c r="G387" s="53"/>
      <c r="H387" s="1">
        <v>11</v>
      </c>
      <c r="I387" s="345">
        <v>111</v>
      </c>
      <c r="J387" s="229">
        <v>3221</v>
      </c>
      <c r="K387" s="18" t="s">
        <v>351</v>
      </c>
      <c r="L387" s="130">
        <v>49054</v>
      </c>
      <c r="M387" s="130">
        <f>49054/7.5345</f>
        <v>6510.5846439710658</v>
      </c>
      <c r="N387" s="131">
        <v>57689</v>
      </c>
      <c r="O387" s="131">
        <f>N387/7.5345</f>
        <v>7656.6460946313618</v>
      </c>
      <c r="P387" s="132">
        <v>8800</v>
      </c>
      <c r="Q387" s="163">
        <v>12500</v>
      </c>
      <c r="R387" s="159">
        <v>13194</v>
      </c>
      <c r="S387" s="165">
        <v>4610</v>
      </c>
      <c r="T387" s="165"/>
      <c r="U387" s="165"/>
      <c r="V387" s="200">
        <v>12500</v>
      </c>
      <c r="W387" s="200">
        <v>12500</v>
      </c>
      <c r="X387" s="164">
        <v>15000</v>
      </c>
      <c r="Y387" s="378">
        <v>16000</v>
      </c>
      <c r="Z387" s="378"/>
      <c r="AA387" s="370" t="e">
        <f t="shared" ca="1" si="275"/>
        <v>#NAME?</v>
      </c>
      <c r="AB387" s="183"/>
      <c r="AC387" s="178">
        <v>9000</v>
      </c>
      <c r="AD387" s="178">
        <v>9000</v>
      </c>
      <c r="AE387" s="178">
        <f>O387/M387*100</f>
        <v>117.60304970033025</v>
      </c>
      <c r="AF387" s="178">
        <f t="shared" si="297"/>
        <v>114.93282948222365</v>
      </c>
      <c r="AG387" s="178">
        <f t="shared" si="297"/>
        <v>142.04545454545453</v>
      </c>
      <c r="AH387" s="178">
        <f>AC387/Q387*100</f>
        <v>72</v>
      </c>
      <c r="AI387" s="183"/>
      <c r="AJ387" s="378">
        <v>16000</v>
      </c>
      <c r="AK387" s="171">
        <f t="shared" si="276"/>
        <v>94.740033348491735</v>
      </c>
      <c r="AL387" s="171">
        <f t="shared" si="277"/>
        <v>120</v>
      </c>
      <c r="AM387" s="171">
        <f t="shared" si="277"/>
        <v>106.66666666666667</v>
      </c>
      <c r="AN387" s="165"/>
      <c r="AO387" s="193"/>
      <c r="AP387" s="193" t="e">
        <f t="shared" ca="1" si="273"/>
        <v>#NAME?</v>
      </c>
      <c r="AQ387" s="200">
        <v>6949.6</v>
      </c>
      <c r="AR387" s="204">
        <f t="shared" si="280"/>
        <v>94.740033348491735</v>
      </c>
      <c r="AS387" s="204">
        <f t="shared" si="281"/>
        <v>100</v>
      </c>
      <c r="AT387" s="204">
        <f t="shared" si="282"/>
        <v>94.740033348491735</v>
      </c>
      <c r="AU387" s="204">
        <f t="shared" si="283"/>
        <v>55.596800000000002</v>
      </c>
      <c r="AV387" s="204">
        <f t="shared" si="284"/>
        <v>52.672426860694252</v>
      </c>
    </row>
    <row r="388" spans="1:48" ht="12" customHeight="1">
      <c r="A388" s="53"/>
      <c r="B388" s="53"/>
      <c r="C388" s="53"/>
      <c r="D388" s="53"/>
      <c r="E388" s="53"/>
      <c r="F388" s="53"/>
      <c r="G388" s="53"/>
      <c r="H388" s="1">
        <v>12</v>
      </c>
      <c r="I388" s="345">
        <v>111</v>
      </c>
      <c r="J388" s="229">
        <v>3223</v>
      </c>
      <c r="K388" s="18" t="s">
        <v>242</v>
      </c>
      <c r="L388" s="130">
        <v>50529</v>
      </c>
      <c r="M388" s="130">
        <f>50529/7.5345</f>
        <v>6706.3507863826399</v>
      </c>
      <c r="N388" s="131">
        <v>13869</v>
      </c>
      <c r="O388" s="131">
        <f>N388/7.5345</f>
        <v>1840.7326299024487</v>
      </c>
      <c r="P388" s="132">
        <v>5500</v>
      </c>
      <c r="Q388" s="163">
        <v>12000</v>
      </c>
      <c r="R388" s="159">
        <v>18066</v>
      </c>
      <c r="S388" s="165">
        <v>10412</v>
      </c>
      <c r="T388" s="165"/>
      <c r="U388" s="165"/>
      <c r="V388" s="200">
        <v>13500</v>
      </c>
      <c r="W388" s="200">
        <v>13500</v>
      </c>
      <c r="X388" s="164">
        <v>16000</v>
      </c>
      <c r="Y388" s="378">
        <v>22000</v>
      </c>
      <c r="Z388" s="378"/>
      <c r="AA388" s="370" t="e">
        <f t="shared" ca="1" si="275"/>
        <v>#NAME?</v>
      </c>
      <c r="AB388" s="183"/>
      <c r="AC388" s="178">
        <v>5600</v>
      </c>
      <c r="AD388" s="178">
        <v>5600</v>
      </c>
      <c r="AE388" s="178">
        <f>O388/M388*100</f>
        <v>27.447604346019116</v>
      </c>
      <c r="AF388" s="178">
        <f t="shared" si="297"/>
        <v>298.79407311269739</v>
      </c>
      <c r="AG388" s="178">
        <f t="shared" si="297"/>
        <v>218.18181818181816</v>
      </c>
      <c r="AH388" s="178">
        <f>AC388/Q388*100</f>
        <v>46.666666666666664</v>
      </c>
      <c r="AI388" s="183"/>
      <c r="AJ388" s="378">
        <v>22000</v>
      </c>
      <c r="AK388" s="171">
        <f t="shared" si="276"/>
        <v>74.726004649618076</v>
      </c>
      <c r="AL388" s="171">
        <f t="shared" si="277"/>
        <v>118.5185185185185</v>
      </c>
      <c r="AM388" s="171">
        <f t="shared" si="277"/>
        <v>137.5</v>
      </c>
      <c r="AN388" s="165"/>
      <c r="AO388" s="193"/>
      <c r="AP388" s="193" t="e">
        <f t="shared" ca="1" si="273"/>
        <v>#NAME?</v>
      </c>
      <c r="AQ388" s="200">
        <v>13499.31</v>
      </c>
      <c r="AR388" s="204">
        <f t="shared" si="280"/>
        <v>74.726004649618076</v>
      </c>
      <c r="AS388" s="204">
        <f t="shared" si="281"/>
        <v>100</v>
      </c>
      <c r="AT388" s="204">
        <f t="shared" si="282"/>
        <v>74.726004649618076</v>
      </c>
      <c r="AU388" s="204">
        <f t="shared" si="283"/>
        <v>99.994888888888894</v>
      </c>
      <c r="AV388" s="204">
        <f t="shared" si="284"/>
        <v>74.722185320491533</v>
      </c>
    </row>
    <row r="389" spans="1:48" ht="12" customHeight="1">
      <c r="A389" s="53"/>
      <c r="B389" s="53"/>
      <c r="C389" s="53"/>
      <c r="D389" s="53"/>
      <c r="E389" s="53"/>
      <c r="F389" s="53"/>
      <c r="G389" s="53"/>
      <c r="H389" s="1">
        <v>13</v>
      </c>
      <c r="I389" s="345">
        <v>111</v>
      </c>
      <c r="J389" s="229">
        <v>3224</v>
      </c>
      <c r="K389" s="18" t="s">
        <v>352</v>
      </c>
      <c r="L389" s="130">
        <v>7028</v>
      </c>
      <c r="M389" s="130">
        <f>7028/7.5345</f>
        <v>932.7758975379918</v>
      </c>
      <c r="N389" s="131">
        <v>5610</v>
      </c>
      <c r="O389" s="131">
        <f>N389/7.5345</f>
        <v>744.5749552060521</v>
      </c>
      <c r="P389" s="132">
        <v>1300</v>
      </c>
      <c r="Q389" s="163">
        <v>2500</v>
      </c>
      <c r="R389" s="159">
        <v>2847</v>
      </c>
      <c r="S389" s="165">
        <v>725</v>
      </c>
      <c r="T389" s="165"/>
      <c r="U389" s="165"/>
      <c r="V389" s="200">
        <v>2500</v>
      </c>
      <c r="W389" s="200">
        <v>2500</v>
      </c>
      <c r="X389" s="164">
        <v>3500</v>
      </c>
      <c r="Y389" s="378">
        <v>6000</v>
      </c>
      <c r="Z389" s="378"/>
      <c r="AA389" s="370" t="e">
        <f t="shared" ca="1" si="275"/>
        <v>#NAME?</v>
      </c>
      <c r="AB389" s="183"/>
      <c r="AC389" s="178">
        <v>1500</v>
      </c>
      <c r="AD389" s="178">
        <v>1500</v>
      </c>
      <c r="AE389" s="178">
        <f>O389/M389*100</f>
        <v>79.823562891291971</v>
      </c>
      <c r="AF389" s="178">
        <f t="shared" si="297"/>
        <v>174.596256684492</v>
      </c>
      <c r="AG389" s="178">
        <f t="shared" si="297"/>
        <v>192.30769230769232</v>
      </c>
      <c r="AH389" s="178">
        <f>AC389/Q389*100</f>
        <v>60</v>
      </c>
      <c r="AI389" s="183"/>
      <c r="AJ389" s="378">
        <v>6000</v>
      </c>
      <c r="AK389" s="171">
        <f t="shared" si="276"/>
        <v>87.811731647348097</v>
      </c>
      <c r="AL389" s="171">
        <f t="shared" si="277"/>
        <v>140</v>
      </c>
      <c r="AM389" s="171">
        <f t="shared" si="277"/>
        <v>171.42857142857142</v>
      </c>
      <c r="AN389" s="165"/>
      <c r="AO389" s="193"/>
      <c r="AP389" s="193" t="e">
        <f t="shared" ca="1" si="273"/>
        <v>#NAME?</v>
      </c>
      <c r="AQ389" s="200">
        <v>725.41</v>
      </c>
      <c r="AR389" s="204">
        <f t="shared" si="280"/>
        <v>87.811731647348097</v>
      </c>
      <c r="AS389" s="204">
        <f t="shared" si="281"/>
        <v>100</v>
      </c>
      <c r="AT389" s="204">
        <f t="shared" si="282"/>
        <v>87.811731647348097</v>
      </c>
      <c r="AU389" s="204">
        <f t="shared" si="283"/>
        <v>29.016399999999997</v>
      </c>
      <c r="AV389" s="204">
        <f t="shared" si="284"/>
        <v>25.479803301721109</v>
      </c>
    </row>
    <row r="390" spans="1:48" ht="12" customHeight="1">
      <c r="A390" s="53"/>
      <c r="B390" s="53"/>
      <c r="C390" s="53"/>
      <c r="D390" s="53"/>
      <c r="E390" s="53"/>
      <c r="F390" s="53"/>
      <c r="G390" s="53"/>
      <c r="H390" s="1">
        <v>14</v>
      </c>
      <c r="I390" s="345">
        <v>111</v>
      </c>
      <c r="J390" s="229">
        <v>3225</v>
      </c>
      <c r="K390" s="18" t="s">
        <v>353</v>
      </c>
      <c r="L390" s="130">
        <v>4334</v>
      </c>
      <c r="M390" s="130">
        <f>4334/7.5345</f>
        <v>575.22065166898926</v>
      </c>
      <c r="N390" s="131">
        <v>0</v>
      </c>
      <c r="O390" s="131">
        <f>N390/7.5345</f>
        <v>0</v>
      </c>
      <c r="P390" s="132">
        <v>600</v>
      </c>
      <c r="Q390" s="132">
        <v>600</v>
      </c>
      <c r="R390" s="159">
        <v>394</v>
      </c>
      <c r="S390" s="165">
        <v>756</v>
      </c>
      <c r="T390" s="165"/>
      <c r="U390" s="165"/>
      <c r="V390" s="200">
        <v>1100</v>
      </c>
      <c r="W390" s="200">
        <v>1100</v>
      </c>
      <c r="X390" s="164">
        <v>1500</v>
      </c>
      <c r="Y390" s="378">
        <v>2000</v>
      </c>
      <c r="Z390" s="378"/>
      <c r="AA390" s="370" t="e">
        <f t="shared" ca="1" si="275"/>
        <v>#NAME?</v>
      </c>
      <c r="AB390" s="183"/>
      <c r="AC390" s="178">
        <v>1000</v>
      </c>
      <c r="AD390" s="178">
        <v>1000</v>
      </c>
      <c r="AE390" s="178">
        <f>O390/M390*100</f>
        <v>0</v>
      </c>
      <c r="AF390" s="178"/>
      <c r="AG390" s="178">
        <f>Q390/P390*100</f>
        <v>100</v>
      </c>
      <c r="AH390" s="178">
        <f>AC390/Q390*100</f>
        <v>166.66666666666669</v>
      </c>
      <c r="AI390" s="183"/>
      <c r="AJ390" s="378">
        <v>2000</v>
      </c>
      <c r="AK390" s="171">
        <f t="shared" si="276"/>
        <v>279.18781725888329</v>
      </c>
      <c r="AL390" s="171">
        <f t="shared" si="277"/>
        <v>136.36363636363635</v>
      </c>
      <c r="AM390" s="171">
        <f t="shared" si="277"/>
        <v>133.33333333333331</v>
      </c>
      <c r="AN390" s="165"/>
      <c r="AO390" s="193"/>
      <c r="AP390" s="193" t="e">
        <f t="shared" ca="1" si="273"/>
        <v>#NAME?</v>
      </c>
      <c r="AQ390" s="200">
        <v>864.6</v>
      </c>
      <c r="AR390" s="204">
        <f t="shared" si="280"/>
        <v>279.18781725888329</v>
      </c>
      <c r="AS390" s="204">
        <f t="shared" si="281"/>
        <v>100</v>
      </c>
      <c r="AT390" s="204">
        <f t="shared" si="282"/>
        <v>279.18781725888329</v>
      </c>
      <c r="AU390" s="204">
        <f t="shared" si="283"/>
        <v>78.600000000000009</v>
      </c>
      <c r="AV390" s="204">
        <f t="shared" si="284"/>
        <v>219.44162436548226</v>
      </c>
    </row>
    <row r="391" spans="1:48" ht="12" customHeight="1">
      <c r="A391" s="53"/>
      <c r="B391" s="53"/>
      <c r="C391" s="53"/>
      <c r="D391" s="53"/>
      <c r="E391" s="53"/>
      <c r="F391" s="53"/>
      <c r="G391" s="53"/>
      <c r="H391" s="1" t="s">
        <v>354</v>
      </c>
      <c r="I391" s="345">
        <v>111</v>
      </c>
      <c r="J391" s="229">
        <v>3227</v>
      </c>
      <c r="K391" s="18" t="s">
        <v>355</v>
      </c>
      <c r="L391" s="130">
        <v>0</v>
      </c>
      <c r="M391" s="130">
        <v>0</v>
      </c>
      <c r="N391" s="131">
        <v>0</v>
      </c>
      <c r="O391" s="131">
        <f>N391/7.5345</f>
        <v>0</v>
      </c>
      <c r="P391" s="132">
        <v>1300</v>
      </c>
      <c r="Q391" s="132">
        <v>1300</v>
      </c>
      <c r="R391" s="159">
        <v>0</v>
      </c>
      <c r="S391" s="165" t="e">
        <f ca="1">__xlfn.XLOOKUP(H391,[1]Izvršenje_proračuna_po_pozicija!$B$2:$B$153,[1]Izvršenje_proračuna_po_pozicija!$E$2:$E$153,0)</f>
        <v>#NAME?</v>
      </c>
      <c r="T391" s="165"/>
      <c r="U391" s="165"/>
      <c r="V391" s="200">
        <v>3000</v>
      </c>
      <c r="W391" s="200">
        <v>3000</v>
      </c>
      <c r="X391" s="164">
        <v>1000</v>
      </c>
      <c r="Y391" s="378">
        <v>2000</v>
      </c>
      <c r="Z391" s="378"/>
      <c r="AA391" s="370" t="e">
        <f t="shared" ca="1" si="275"/>
        <v>#NAME?</v>
      </c>
      <c r="AB391" s="183"/>
      <c r="AC391" s="178">
        <v>1000</v>
      </c>
      <c r="AD391" s="178">
        <v>1000</v>
      </c>
      <c r="AE391" s="178"/>
      <c r="AF391" s="178"/>
      <c r="AG391" s="178"/>
      <c r="AH391" s="178"/>
      <c r="AI391" s="183"/>
      <c r="AJ391" s="378">
        <v>2000</v>
      </c>
      <c r="AK391" s="171"/>
      <c r="AL391" s="171">
        <f t="shared" si="277"/>
        <v>33.333333333333329</v>
      </c>
      <c r="AM391" s="171">
        <f t="shared" si="277"/>
        <v>200</v>
      </c>
      <c r="AN391" s="165"/>
      <c r="AO391" s="193"/>
      <c r="AP391" s="193" t="e">
        <f t="shared" ca="1" si="273"/>
        <v>#NAME?</v>
      </c>
      <c r="AQ391" s="200">
        <v>2839.03</v>
      </c>
      <c r="AR391" s="204"/>
      <c r="AS391" s="204">
        <f t="shared" si="281"/>
        <v>100</v>
      </c>
      <c r="AT391" s="204"/>
      <c r="AU391" s="204">
        <f t="shared" si="283"/>
        <v>94.634333333333345</v>
      </c>
      <c r="AV391" s="204"/>
    </row>
    <row r="392" spans="1:48" ht="12" customHeight="1">
      <c r="A392" s="69"/>
      <c r="B392" s="69"/>
      <c r="C392" s="69"/>
      <c r="D392" s="69"/>
      <c r="E392" s="69"/>
      <c r="F392" s="69"/>
      <c r="G392" s="69"/>
      <c r="H392" s="389"/>
      <c r="I392" s="341"/>
      <c r="J392" s="281"/>
      <c r="K392" s="70"/>
      <c r="L392" s="217"/>
      <c r="M392" s="217"/>
      <c r="N392" s="218"/>
      <c r="O392" s="218"/>
      <c r="P392" s="219"/>
      <c r="Q392" s="219"/>
      <c r="R392" s="282"/>
      <c r="S392" s="165" t="e">
        <f ca="1">__xlfn.XLOOKUP(H392,[1]Izvršenje_proračuna_po_pozicija!$B$2:$B$153,[1]Izvršenje_proračuna_po_pozicija!$E$2:$E$153,0)</f>
        <v>#NAME?</v>
      </c>
      <c r="T392" s="165"/>
      <c r="U392" s="165"/>
      <c r="V392" s="200"/>
      <c r="W392" s="200"/>
      <c r="X392" s="167"/>
      <c r="Y392" s="424"/>
      <c r="Z392" s="424"/>
      <c r="AA392" s="370" t="e">
        <f t="shared" ca="1" si="275"/>
        <v>#NAME?</v>
      </c>
      <c r="AB392" s="223"/>
      <c r="AC392" s="224"/>
      <c r="AD392" s="224"/>
      <c r="AE392" s="178"/>
      <c r="AF392" s="178"/>
      <c r="AG392" s="178"/>
      <c r="AH392" s="178"/>
      <c r="AI392" s="223"/>
      <c r="AJ392" s="424"/>
      <c r="AK392" s="171"/>
      <c r="AL392" s="171"/>
      <c r="AM392" s="171"/>
      <c r="AN392" s="222"/>
      <c r="AO392" s="193"/>
      <c r="AP392" s="193" t="e">
        <f t="shared" ca="1" si="273"/>
        <v>#NAME?</v>
      </c>
      <c r="AQ392" s="200"/>
      <c r="AR392" s="204"/>
      <c r="AS392" s="204"/>
      <c r="AT392" s="204"/>
      <c r="AU392" s="204"/>
      <c r="AV392" s="204"/>
    </row>
    <row r="393" spans="1:48" ht="12" customHeight="1">
      <c r="A393" s="62"/>
      <c r="B393" s="62"/>
      <c r="C393" s="62"/>
      <c r="D393" s="62"/>
      <c r="E393" s="62"/>
      <c r="F393" s="62"/>
      <c r="G393" s="62"/>
      <c r="H393" s="304"/>
      <c r="I393" s="346"/>
      <c r="J393" s="303">
        <v>323</v>
      </c>
      <c r="K393" s="19" t="s">
        <v>356</v>
      </c>
      <c r="L393" s="112">
        <f t="shared" ref="L393:S393" si="298">L394+L395+L396+L397+L398+L399+L400</f>
        <v>603644</v>
      </c>
      <c r="M393" s="112">
        <f t="shared" si="298"/>
        <v>80117.326962638515</v>
      </c>
      <c r="N393" s="113">
        <f t="shared" si="298"/>
        <v>616248</v>
      </c>
      <c r="O393" s="113">
        <f t="shared" si="298"/>
        <v>81790.165239896465</v>
      </c>
      <c r="P393" s="114">
        <f t="shared" si="298"/>
        <v>114000</v>
      </c>
      <c r="Q393" s="114">
        <f t="shared" si="298"/>
        <v>117000</v>
      </c>
      <c r="R393" s="88">
        <f t="shared" si="298"/>
        <v>92501</v>
      </c>
      <c r="S393" s="90" t="e">
        <f t="shared" ca="1" si="298"/>
        <v>#NAME?</v>
      </c>
      <c r="T393" s="90"/>
      <c r="U393" s="90"/>
      <c r="V393" s="200">
        <f>V394+V395+V396+V397+V398+V399+V400</f>
        <v>133000</v>
      </c>
      <c r="W393" s="200">
        <f>W394+W395+W396+W397+W398+W399+W400</f>
        <v>133000</v>
      </c>
      <c r="X393" s="88">
        <f>X394+X395+X396+X397+X398+X399+X400</f>
        <v>152000</v>
      </c>
      <c r="Y393" s="171">
        <f>Y394+Y395+Y396+Y397+Y398+Y399+Y400</f>
        <v>182000</v>
      </c>
      <c r="Z393" s="171">
        <f>Z394+Z395+Z396+Z397+Z398+Z399+Z400</f>
        <v>0</v>
      </c>
      <c r="AA393" s="370" t="e">
        <f t="shared" ca="1" si="275"/>
        <v>#NAME?</v>
      </c>
      <c r="AB393" s="171"/>
      <c r="AC393" s="172">
        <f>AC394+AC395+AC396+AC397+AC398+AC399+AC400</f>
        <v>117000</v>
      </c>
      <c r="AD393" s="172">
        <f>AD394+AD395+AD396+AD397+AD398+AD399+AD400</f>
        <v>117000</v>
      </c>
      <c r="AE393" s="178">
        <f t="shared" ref="AE393:AE400" si="299">O393/M393*100</f>
        <v>102.08798563391667</v>
      </c>
      <c r="AF393" s="178">
        <f t="shared" ref="AF393:AG399" si="300">P393/O393*100</f>
        <v>139.38106087159716</v>
      </c>
      <c r="AG393" s="178">
        <f t="shared" si="300"/>
        <v>102.63157894736842</v>
      </c>
      <c r="AH393" s="178">
        <f t="shared" ref="AH393:AH400" si="301">AC393/Q393*100</f>
        <v>100</v>
      </c>
      <c r="AI393" s="171"/>
      <c r="AJ393" s="171">
        <v>182000</v>
      </c>
      <c r="AK393" s="171">
        <f t="shared" si="276"/>
        <v>143.78222938130398</v>
      </c>
      <c r="AL393" s="171">
        <f t="shared" si="277"/>
        <v>114.28571428571428</v>
      </c>
      <c r="AM393" s="171">
        <f t="shared" si="277"/>
        <v>119.73684210526316</v>
      </c>
      <c r="AN393" s="90"/>
      <c r="AO393" s="193"/>
      <c r="AP393" s="193" t="e">
        <f t="shared" ca="1" si="273"/>
        <v>#NAME?</v>
      </c>
      <c r="AQ393" s="200">
        <f>AQ394+AQ395+AQ396+AQ397+AQ398+AQ399+AQ400</f>
        <v>138084.97</v>
      </c>
      <c r="AR393" s="204">
        <f t="shared" si="280"/>
        <v>143.78222938130398</v>
      </c>
      <c r="AS393" s="204">
        <f t="shared" si="281"/>
        <v>100</v>
      </c>
      <c r="AT393" s="204">
        <f t="shared" si="282"/>
        <v>143.78222938130398</v>
      </c>
      <c r="AU393" s="204">
        <f t="shared" si="283"/>
        <v>103.82328571428572</v>
      </c>
      <c r="AV393" s="204">
        <f t="shared" si="284"/>
        <v>149.27943481692091</v>
      </c>
    </row>
    <row r="394" spans="1:48" ht="12" customHeight="1">
      <c r="A394" s="53"/>
      <c r="B394" s="53"/>
      <c r="C394" s="53"/>
      <c r="D394" s="53"/>
      <c r="E394" s="53"/>
      <c r="F394" s="53"/>
      <c r="G394" s="53"/>
      <c r="H394" s="1">
        <v>15</v>
      </c>
      <c r="I394" s="345">
        <v>111</v>
      </c>
      <c r="J394" s="229">
        <v>3231</v>
      </c>
      <c r="K394" s="18" t="s">
        <v>247</v>
      </c>
      <c r="L394" s="130">
        <v>86697</v>
      </c>
      <c r="M394" s="130">
        <f>86697/7.5345</f>
        <v>11506.669321122834</v>
      </c>
      <c r="N394" s="131">
        <v>99301</v>
      </c>
      <c r="O394" s="131">
        <f>N394/7.5345</f>
        <v>13179.50759838078</v>
      </c>
      <c r="P394" s="132">
        <v>15000</v>
      </c>
      <c r="Q394" s="132">
        <v>15000</v>
      </c>
      <c r="R394" s="159">
        <v>10549</v>
      </c>
      <c r="S394" s="165">
        <v>21508</v>
      </c>
      <c r="T394" s="165"/>
      <c r="U394" s="165"/>
      <c r="V394" s="200">
        <v>24000</v>
      </c>
      <c r="W394" s="200">
        <v>24000</v>
      </c>
      <c r="X394" s="164">
        <v>30000</v>
      </c>
      <c r="Y394" s="378">
        <v>35000</v>
      </c>
      <c r="Z394" s="378"/>
      <c r="AA394" s="370" t="e">
        <f t="shared" ca="1" si="275"/>
        <v>#NAME?</v>
      </c>
      <c r="AB394" s="183"/>
      <c r="AC394" s="178">
        <v>16000</v>
      </c>
      <c r="AD394" s="178">
        <v>16000</v>
      </c>
      <c r="AE394" s="178">
        <f t="shared" si="299"/>
        <v>114.53798862705744</v>
      </c>
      <c r="AF394" s="178">
        <f t="shared" si="300"/>
        <v>113.81305324216274</v>
      </c>
      <c r="AG394" s="178">
        <f t="shared" si="300"/>
        <v>100</v>
      </c>
      <c r="AH394" s="178">
        <f t="shared" si="301"/>
        <v>106.66666666666667</v>
      </c>
      <c r="AI394" s="183"/>
      <c r="AJ394" s="378">
        <v>35000</v>
      </c>
      <c r="AK394" s="171">
        <f t="shared" si="276"/>
        <v>227.50971656081146</v>
      </c>
      <c r="AL394" s="171">
        <f t="shared" si="277"/>
        <v>125</v>
      </c>
      <c r="AM394" s="171">
        <f t="shared" si="277"/>
        <v>116.66666666666667</v>
      </c>
      <c r="AN394" s="165"/>
      <c r="AO394" s="193"/>
      <c r="AP394" s="193" t="e">
        <f t="shared" ca="1" si="273"/>
        <v>#NAME?</v>
      </c>
      <c r="AQ394" s="200">
        <v>23675.89</v>
      </c>
      <c r="AR394" s="204">
        <f t="shared" si="280"/>
        <v>227.50971656081146</v>
      </c>
      <c r="AS394" s="204">
        <f t="shared" si="281"/>
        <v>100</v>
      </c>
      <c r="AT394" s="204">
        <f t="shared" si="282"/>
        <v>227.50971656081146</v>
      </c>
      <c r="AU394" s="204">
        <f t="shared" si="283"/>
        <v>98.649541666666664</v>
      </c>
      <c r="AV394" s="204">
        <f t="shared" si="284"/>
        <v>224.43729263437291</v>
      </c>
    </row>
    <row r="395" spans="1:48" ht="12" customHeight="1">
      <c r="A395" s="53"/>
      <c r="B395" s="53"/>
      <c r="C395" s="53"/>
      <c r="D395" s="53"/>
      <c r="E395" s="53"/>
      <c r="F395" s="53"/>
      <c r="G395" s="53"/>
      <c r="H395" s="1">
        <v>16</v>
      </c>
      <c r="I395" s="345">
        <v>111</v>
      </c>
      <c r="J395" s="229">
        <v>3232</v>
      </c>
      <c r="K395" s="18" t="s">
        <v>357</v>
      </c>
      <c r="L395" s="130">
        <v>21412</v>
      </c>
      <c r="M395" s="130">
        <f>21412/7.5345</f>
        <v>2841.8607737739731</v>
      </c>
      <c r="N395" s="131">
        <v>36290</v>
      </c>
      <c r="O395" s="131">
        <f t="shared" ref="O395:O400" si="302">N395/7.5345</f>
        <v>4816.5107173667793</v>
      </c>
      <c r="P395" s="132">
        <v>7000</v>
      </c>
      <c r="Q395" s="132">
        <v>7000</v>
      </c>
      <c r="R395" s="159">
        <v>4786</v>
      </c>
      <c r="S395" s="165">
        <v>9826</v>
      </c>
      <c r="T395" s="165"/>
      <c r="U395" s="165"/>
      <c r="V395" s="200">
        <v>11000</v>
      </c>
      <c r="W395" s="200">
        <v>11000</v>
      </c>
      <c r="X395" s="164">
        <v>15000</v>
      </c>
      <c r="Y395" s="378">
        <v>18000</v>
      </c>
      <c r="Z395" s="378"/>
      <c r="AA395" s="370" t="e">
        <f t="shared" ca="1" si="275"/>
        <v>#NAME?</v>
      </c>
      <c r="AB395" s="183"/>
      <c r="AC395" s="178">
        <v>7000</v>
      </c>
      <c r="AD395" s="178">
        <v>7000</v>
      </c>
      <c r="AE395" s="178">
        <f t="shared" si="299"/>
        <v>169.48440127031569</v>
      </c>
      <c r="AF395" s="178">
        <f t="shared" si="300"/>
        <v>145.33342518600165</v>
      </c>
      <c r="AG395" s="178">
        <f t="shared" si="300"/>
        <v>100</v>
      </c>
      <c r="AH395" s="178">
        <f t="shared" si="301"/>
        <v>100</v>
      </c>
      <c r="AI395" s="183"/>
      <c r="AJ395" s="378">
        <v>18000</v>
      </c>
      <c r="AK395" s="171">
        <f t="shared" si="276"/>
        <v>229.83702465524445</v>
      </c>
      <c r="AL395" s="171">
        <f t="shared" si="277"/>
        <v>136.36363636363635</v>
      </c>
      <c r="AM395" s="171">
        <f t="shared" si="277"/>
        <v>120</v>
      </c>
      <c r="AN395" s="165"/>
      <c r="AO395" s="193"/>
      <c r="AP395" s="193" t="e">
        <f t="shared" ca="1" si="273"/>
        <v>#NAME?</v>
      </c>
      <c r="AQ395" s="200">
        <v>14231.91</v>
      </c>
      <c r="AR395" s="204">
        <f t="shared" si="280"/>
        <v>229.83702465524445</v>
      </c>
      <c r="AS395" s="204">
        <f t="shared" si="281"/>
        <v>100</v>
      </c>
      <c r="AT395" s="204">
        <f t="shared" si="282"/>
        <v>229.83702465524445</v>
      </c>
      <c r="AU395" s="204">
        <f t="shared" si="283"/>
        <v>129.381</v>
      </c>
      <c r="AV395" s="204">
        <f t="shared" si="284"/>
        <v>297.36544086920185</v>
      </c>
    </row>
    <row r="396" spans="1:48" ht="12" customHeight="1">
      <c r="A396" s="53"/>
      <c r="B396" s="53"/>
      <c r="C396" s="53"/>
      <c r="D396" s="53"/>
      <c r="E396" s="53"/>
      <c r="F396" s="53"/>
      <c r="G396" s="53"/>
      <c r="H396" s="1">
        <v>18</v>
      </c>
      <c r="I396" s="345">
        <v>111</v>
      </c>
      <c r="J396" s="229">
        <v>3234</v>
      </c>
      <c r="K396" s="18" t="s">
        <v>250</v>
      </c>
      <c r="L396" s="130">
        <v>11418</v>
      </c>
      <c r="M396" s="130">
        <f>11418/7.5345</f>
        <v>1515.4290264782003</v>
      </c>
      <c r="N396" s="131">
        <v>11418</v>
      </c>
      <c r="O396" s="131">
        <f t="shared" si="302"/>
        <v>1515.4290264782003</v>
      </c>
      <c r="P396" s="132">
        <v>2000</v>
      </c>
      <c r="Q396" s="132">
        <v>2000</v>
      </c>
      <c r="R396" s="159">
        <v>2265</v>
      </c>
      <c r="S396" s="165">
        <v>225</v>
      </c>
      <c r="T396" s="165"/>
      <c r="U396" s="165"/>
      <c r="V396" s="200">
        <v>2000</v>
      </c>
      <c r="W396" s="200">
        <v>2000</v>
      </c>
      <c r="X396" s="164">
        <v>2500</v>
      </c>
      <c r="Y396" s="378">
        <v>4000</v>
      </c>
      <c r="Z396" s="378"/>
      <c r="AA396" s="370" t="e">
        <f t="shared" ca="1" si="275"/>
        <v>#NAME?</v>
      </c>
      <c r="AB396" s="183"/>
      <c r="AC396" s="178">
        <v>2000</v>
      </c>
      <c r="AD396" s="178">
        <v>2000</v>
      </c>
      <c r="AE396" s="178">
        <f t="shared" si="299"/>
        <v>100</v>
      </c>
      <c r="AF396" s="178">
        <f t="shared" si="300"/>
        <v>131.97582764056753</v>
      </c>
      <c r="AG396" s="178">
        <f t="shared" si="300"/>
        <v>100</v>
      </c>
      <c r="AH396" s="178">
        <f t="shared" si="301"/>
        <v>100</v>
      </c>
      <c r="AI396" s="183"/>
      <c r="AJ396" s="378">
        <v>4000</v>
      </c>
      <c r="AK396" s="171">
        <f t="shared" si="276"/>
        <v>88.300220750551873</v>
      </c>
      <c r="AL396" s="171">
        <f t="shared" si="277"/>
        <v>125</v>
      </c>
      <c r="AM396" s="171">
        <f t="shared" si="277"/>
        <v>160</v>
      </c>
      <c r="AN396" s="165"/>
      <c r="AO396" s="193"/>
      <c r="AP396" s="193" t="e">
        <f t="shared" ca="1" si="273"/>
        <v>#NAME?</v>
      </c>
      <c r="AQ396" s="200">
        <v>6867.53</v>
      </c>
      <c r="AR396" s="204">
        <f t="shared" si="280"/>
        <v>88.300220750551873</v>
      </c>
      <c r="AS396" s="204">
        <f t="shared" si="281"/>
        <v>100</v>
      </c>
      <c r="AT396" s="204">
        <f t="shared" si="282"/>
        <v>88.300220750551873</v>
      </c>
      <c r="AU396" s="204">
        <f t="shared" si="283"/>
        <v>343.37649999999996</v>
      </c>
      <c r="AV396" s="204">
        <f t="shared" si="284"/>
        <v>303.20220750551874</v>
      </c>
    </row>
    <row r="397" spans="1:48" ht="12" customHeight="1">
      <c r="A397" s="53"/>
      <c r="B397" s="53"/>
      <c r="C397" s="53"/>
      <c r="D397" s="53"/>
      <c r="E397" s="53"/>
      <c r="F397" s="53"/>
      <c r="G397" s="53"/>
      <c r="H397" s="1" t="s">
        <v>358</v>
      </c>
      <c r="I397" s="345">
        <v>111</v>
      </c>
      <c r="J397" s="229">
        <v>3236</v>
      </c>
      <c r="K397" s="18" t="s">
        <v>359</v>
      </c>
      <c r="L397" s="130">
        <v>18055</v>
      </c>
      <c r="M397" s="130">
        <f>18055/7.5345</f>
        <v>2396.3103059260734</v>
      </c>
      <c r="N397" s="131">
        <v>30840</v>
      </c>
      <c r="O397" s="131">
        <f t="shared" si="302"/>
        <v>4093.1714115070672</v>
      </c>
      <c r="P397" s="132">
        <v>4000</v>
      </c>
      <c r="Q397" s="132">
        <v>4000</v>
      </c>
      <c r="R397" s="159">
        <v>4346</v>
      </c>
      <c r="S397" s="165" t="e">
        <f ca="1">__xlfn.XLOOKUP(H397,[1]Izvršenje_proračuna_po_pozicija!$B$2:$B$153,[1]Izvršenje_proračuna_po_pozicija!$E$2:$E$153,0)</f>
        <v>#NAME?</v>
      </c>
      <c r="T397" s="165"/>
      <c r="U397" s="165"/>
      <c r="V397" s="200">
        <v>4000</v>
      </c>
      <c r="W397" s="200">
        <v>4000</v>
      </c>
      <c r="X397" s="164">
        <v>4500</v>
      </c>
      <c r="Y397" s="378">
        <v>5000</v>
      </c>
      <c r="Z397" s="378"/>
      <c r="AA397" s="370" t="e">
        <f t="shared" ca="1" si="275"/>
        <v>#NAME?</v>
      </c>
      <c r="AB397" s="183"/>
      <c r="AC397" s="178">
        <v>4000</v>
      </c>
      <c r="AD397" s="178">
        <v>4000</v>
      </c>
      <c r="AE397" s="178">
        <f t="shared" si="299"/>
        <v>170.81140958183326</v>
      </c>
      <c r="AF397" s="178">
        <f t="shared" si="300"/>
        <v>97.723735408560316</v>
      </c>
      <c r="AG397" s="178">
        <f t="shared" si="300"/>
        <v>100</v>
      </c>
      <c r="AH397" s="178">
        <f t="shared" si="301"/>
        <v>100</v>
      </c>
      <c r="AI397" s="183"/>
      <c r="AJ397" s="378">
        <v>5000</v>
      </c>
      <c r="AK397" s="171">
        <f t="shared" si="276"/>
        <v>92.038656235618959</v>
      </c>
      <c r="AL397" s="171">
        <f t="shared" si="277"/>
        <v>112.5</v>
      </c>
      <c r="AM397" s="171">
        <f t="shared" si="277"/>
        <v>111.11111111111111</v>
      </c>
      <c r="AN397" s="165"/>
      <c r="AO397" s="193"/>
      <c r="AP397" s="193" t="e">
        <f t="shared" ca="1" si="273"/>
        <v>#NAME?</v>
      </c>
      <c r="AQ397" s="200">
        <v>3667.3</v>
      </c>
      <c r="AR397" s="204">
        <f t="shared" si="280"/>
        <v>92.038656235618959</v>
      </c>
      <c r="AS397" s="204">
        <f t="shared" si="281"/>
        <v>100</v>
      </c>
      <c r="AT397" s="204">
        <f t="shared" si="282"/>
        <v>92.038656235618959</v>
      </c>
      <c r="AU397" s="204">
        <f t="shared" si="283"/>
        <v>91.682500000000005</v>
      </c>
      <c r="AV397" s="204">
        <f t="shared" si="284"/>
        <v>84.383341003221361</v>
      </c>
    </row>
    <row r="398" spans="1:48" ht="12" customHeight="1">
      <c r="A398" s="53"/>
      <c r="B398" s="53"/>
      <c r="C398" s="53"/>
      <c r="D398" s="53"/>
      <c r="E398" s="53"/>
      <c r="F398" s="53"/>
      <c r="G398" s="53"/>
      <c r="H398" s="1">
        <v>19</v>
      </c>
      <c r="I398" s="345">
        <v>111</v>
      </c>
      <c r="J398" s="229">
        <v>3237</v>
      </c>
      <c r="K398" s="18" t="s">
        <v>253</v>
      </c>
      <c r="L398" s="130">
        <v>192784</v>
      </c>
      <c r="M398" s="130">
        <f>192784/7.5345</f>
        <v>25586.833897405268</v>
      </c>
      <c r="N398" s="131">
        <v>227648</v>
      </c>
      <c r="O398" s="131">
        <f t="shared" si="302"/>
        <v>30214.081889972789</v>
      </c>
      <c r="P398" s="132">
        <v>40000</v>
      </c>
      <c r="Q398" s="163">
        <v>37000</v>
      </c>
      <c r="R398" s="159">
        <v>24866</v>
      </c>
      <c r="S398" s="165">
        <v>12401</v>
      </c>
      <c r="T398" s="165"/>
      <c r="U398" s="165"/>
      <c r="V398" s="200">
        <v>40000</v>
      </c>
      <c r="W398" s="200">
        <v>40000</v>
      </c>
      <c r="X398" s="164">
        <v>40000</v>
      </c>
      <c r="Y398" s="378">
        <v>50000</v>
      </c>
      <c r="Z398" s="378"/>
      <c r="AA398" s="370" t="e">
        <f t="shared" ca="1" si="275"/>
        <v>#NAME?</v>
      </c>
      <c r="AB398" s="183"/>
      <c r="AC398" s="178">
        <v>40000</v>
      </c>
      <c r="AD398" s="178">
        <v>40000</v>
      </c>
      <c r="AE398" s="178">
        <f t="shared" si="299"/>
        <v>118.08448833928126</v>
      </c>
      <c r="AF398" s="178">
        <f t="shared" si="300"/>
        <v>132.38859994377285</v>
      </c>
      <c r="AG398" s="178">
        <f t="shared" si="300"/>
        <v>92.5</v>
      </c>
      <c r="AH398" s="178">
        <f t="shared" si="301"/>
        <v>108.10810810810811</v>
      </c>
      <c r="AI398" s="183"/>
      <c r="AJ398" s="378">
        <v>50000</v>
      </c>
      <c r="AK398" s="171">
        <f t="shared" si="276"/>
        <v>160.86222150727903</v>
      </c>
      <c r="AL398" s="171">
        <f t="shared" si="277"/>
        <v>100</v>
      </c>
      <c r="AM398" s="171">
        <f t="shared" si="277"/>
        <v>125</v>
      </c>
      <c r="AN398" s="165"/>
      <c r="AO398" s="193"/>
      <c r="AP398" s="193" t="e">
        <f t="shared" ca="1" si="273"/>
        <v>#NAME?</v>
      </c>
      <c r="AQ398" s="200">
        <v>43897.17</v>
      </c>
      <c r="AR398" s="204">
        <f t="shared" si="280"/>
        <v>160.86222150727903</v>
      </c>
      <c r="AS398" s="204">
        <f t="shared" si="281"/>
        <v>100</v>
      </c>
      <c r="AT398" s="204">
        <f t="shared" si="282"/>
        <v>160.86222150727903</v>
      </c>
      <c r="AU398" s="204">
        <f t="shared" si="283"/>
        <v>109.742925</v>
      </c>
      <c r="AV398" s="204">
        <f t="shared" si="284"/>
        <v>176.53490710206708</v>
      </c>
    </row>
    <row r="399" spans="1:48" ht="12" customHeight="1">
      <c r="A399" s="53"/>
      <c r="B399" s="53"/>
      <c r="C399" s="53"/>
      <c r="D399" s="53"/>
      <c r="E399" s="53"/>
      <c r="F399" s="53"/>
      <c r="G399" s="53"/>
      <c r="H399" s="1">
        <v>20</v>
      </c>
      <c r="I399" s="345">
        <v>111</v>
      </c>
      <c r="J399" s="229">
        <v>3238</v>
      </c>
      <c r="K399" s="18" t="s">
        <v>254</v>
      </c>
      <c r="L399" s="130">
        <v>168695</v>
      </c>
      <c r="M399" s="130">
        <f>168695/7.5345</f>
        <v>22389.674165505341</v>
      </c>
      <c r="N399" s="131">
        <v>199770</v>
      </c>
      <c r="O399" s="131">
        <f t="shared" si="302"/>
        <v>26514.035436989845</v>
      </c>
      <c r="P399" s="132">
        <v>29000</v>
      </c>
      <c r="Q399" s="163">
        <v>35000</v>
      </c>
      <c r="R399" s="159">
        <v>37724</v>
      </c>
      <c r="S399" s="165">
        <v>29970</v>
      </c>
      <c r="T399" s="165"/>
      <c r="U399" s="165"/>
      <c r="V399" s="200">
        <v>35000</v>
      </c>
      <c r="W399" s="200">
        <v>35000</v>
      </c>
      <c r="X399" s="164">
        <v>40000</v>
      </c>
      <c r="Y399" s="378">
        <v>45000</v>
      </c>
      <c r="Z399" s="378"/>
      <c r="AA399" s="370" t="e">
        <f t="shared" ca="1" si="275"/>
        <v>#NAME?</v>
      </c>
      <c r="AB399" s="183"/>
      <c r="AC399" s="178">
        <v>30000</v>
      </c>
      <c r="AD399" s="178">
        <v>30000</v>
      </c>
      <c r="AE399" s="178">
        <f t="shared" si="299"/>
        <v>118.42081863718545</v>
      </c>
      <c r="AF399" s="178">
        <f t="shared" si="300"/>
        <v>109.3760324373029</v>
      </c>
      <c r="AG399" s="178">
        <f t="shared" si="300"/>
        <v>120.68965517241379</v>
      </c>
      <c r="AH399" s="178">
        <f t="shared" si="301"/>
        <v>85.714285714285708</v>
      </c>
      <c r="AI399" s="183"/>
      <c r="AJ399" s="378">
        <v>45000</v>
      </c>
      <c r="AK399" s="171">
        <f t="shared" si="276"/>
        <v>92.779132647651366</v>
      </c>
      <c r="AL399" s="171">
        <f t="shared" si="277"/>
        <v>114.28571428571428</v>
      </c>
      <c r="AM399" s="171">
        <f t="shared" si="277"/>
        <v>112.5</v>
      </c>
      <c r="AN399" s="165"/>
      <c r="AO399" s="193"/>
      <c r="AP399" s="193" t="e">
        <f t="shared" ca="1" si="273"/>
        <v>#NAME?</v>
      </c>
      <c r="AQ399" s="200">
        <v>36370.17</v>
      </c>
      <c r="AR399" s="204">
        <f t="shared" si="280"/>
        <v>92.779132647651366</v>
      </c>
      <c r="AS399" s="204">
        <f t="shared" si="281"/>
        <v>100</v>
      </c>
      <c r="AT399" s="204">
        <f t="shared" si="282"/>
        <v>92.779132647651366</v>
      </c>
      <c r="AU399" s="204">
        <f t="shared" si="283"/>
        <v>103.91477142857141</v>
      </c>
      <c r="AV399" s="204">
        <f t="shared" si="284"/>
        <v>96.411223624217996</v>
      </c>
    </row>
    <row r="400" spans="1:48" ht="12" customHeight="1">
      <c r="A400" s="53"/>
      <c r="B400" s="53"/>
      <c r="C400" s="53"/>
      <c r="D400" s="53"/>
      <c r="E400" s="53"/>
      <c r="F400" s="53"/>
      <c r="G400" s="53"/>
      <c r="H400" s="1">
        <v>21</v>
      </c>
      <c r="I400" s="345">
        <v>111</v>
      </c>
      <c r="J400" s="229">
        <v>3239</v>
      </c>
      <c r="K400" s="18" t="s">
        <v>255</v>
      </c>
      <c r="L400" s="130">
        <v>104583</v>
      </c>
      <c r="M400" s="130">
        <f>104583/7.5345</f>
        <v>13880.549472426836</v>
      </c>
      <c r="N400" s="131">
        <v>10981</v>
      </c>
      <c r="O400" s="131">
        <f t="shared" si="302"/>
        <v>1457.4291592010086</v>
      </c>
      <c r="P400" s="132">
        <v>17000</v>
      </c>
      <c r="Q400" s="132">
        <v>17000</v>
      </c>
      <c r="R400" s="159">
        <v>7965</v>
      </c>
      <c r="S400" s="165">
        <v>9375</v>
      </c>
      <c r="T400" s="165"/>
      <c r="U400" s="165"/>
      <c r="V400" s="200">
        <v>17000</v>
      </c>
      <c r="W400" s="200">
        <v>17000</v>
      </c>
      <c r="X400" s="164">
        <v>20000</v>
      </c>
      <c r="Y400" s="378">
        <v>25000</v>
      </c>
      <c r="Z400" s="378"/>
      <c r="AA400" s="370" t="e">
        <f t="shared" ca="1" si="275"/>
        <v>#NAME?</v>
      </c>
      <c r="AB400" s="183"/>
      <c r="AC400" s="178">
        <v>18000</v>
      </c>
      <c r="AD400" s="178">
        <v>18000</v>
      </c>
      <c r="AE400" s="178">
        <f t="shared" si="299"/>
        <v>10.499794421655526</v>
      </c>
      <c r="AF400" s="178"/>
      <c r="AG400" s="178">
        <f>Q400/P400*100</f>
        <v>100</v>
      </c>
      <c r="AH400" s="178">
        <f t="shared" si="301"/>
        <v>105.88235294117648</v>
      </c>
      <c r="AI400" s="183"/>
      <c r="AJ400" s="378">
        <v>25000</v>
      </c>
      <c r="AK400" s="171">
        <f t="shared" si="276"/>
        <v>213.43377275580667</v>
      </c>
      <c r="AL400" s="171">
        <f t="shared" si="277"/>
        <v>117.64705882352942</v>
      </c>
      <c r="AM400" s="171">
        <f t="shared" si="277"/>
        <v>125</v>
      </c>
      <c r="AN400" s="165"/>
      <c r="AO400" s="193"/>
      <c r="AP400" s="193" t="e">
        <f t="shared" ca="1" si="273"/>
        <v>#NAME?</v>
      </c>
      <c r="AQ400" s="200">
        <v>9375</v>
      </c>
      <c r="AR400" s="204">
        <f t="shared" si="280"/>
        <v>213.43377275580667</v>
      </c>
      <c r="AS400" s="204">
        <f t="shared" si="281"/>
        <v>100</v>
      </c>
      <c r="AT400" s="204">
        <f t="shared" si="282"/>
        <v>213.43377275580667</v>
      </c>
      <c r="AU400" s="204">
        <f t="shared" si="283"/>
        <v>55.147058823529413</v>
      </c>
      <c r="AV400" s="204">
        <f t="shared" si="284"/>
        <v>117.7024482109228</v>
      </c>
    </row>
    <row r="401" spans="1:48" ht="12" customHeight="1">
      <c r="A401" s="42"/>
      <c r="B401" s="42"/>
      <c r="C401" s="42"/>
      <c r="D401" s="42"/>
      <c r="E401" s="42"/>
      <c r="F401" s="42"/>
      <c r="G401" s="42"/>
      <c r="H401" s="308"/>
      <c r="I401" s="14"/>
      <c r="J401" s="2"/>
      <c r="K401" s="84"/>
      <c r="L401" s="85">
        <v>1</v>
      </c>
      <c r="M401" s="85">
        <v>2</v>
      </c>
      <c r="N401" s="86">
        <v>3</v>
      </c>
      <c r="O401" s="86">
        <v>4</v>
      </c>
      <c r="P401" s="87">
        <v>5</v>
      </c>
      <c r="Q401" s="87">
        <v>6</v>
      </c>
      <c r="R401" s="160"/>
      <c r="S401" s="165" t="e">
        <f ca="1">__xlfn.XLOOKUP(H401,[1]Izvršenje_proračuna_po_pozicija!$B$2:$B$153,[1]Izvršenje_proračuna_po_pozicija!$E$2:$E$153,0)</f>
        <v>#NAME?</v>
      </c>
      <c r="T401" s="165"/>
      <c r="U401" s="165"/>
      <c r="V401" s="200"/>
      <c r="W401" s="200"/>
      <c r="X401" s="361"/>
      <c r="Y401" s="373"/>
      <c r="Z401" s="373"/>
      <c r="AA401" s="370" t="e">
        <f t="shared" ca="1" si="275"/>
        <v>#NAME?</v>
      </c>
      <c r="AB401" s="181"/>
      <c r="AC401" s="182">
        <v>7</v>
      </c>
      <c r="AD401" s="182">
        <v>8</v>
      </c>
      <c r="AE401" s="182">
        <v>9</v>
      </c>
      <c r="AF401" s="182">
        <v>10</v>
      </c>
      <c r="AG401" s="182">
        <v>11</v>
      </c>
      <c r="AH401" s="182">
        <v>12</v>
      </c>
      <c r="AI401" s="181"/>
      <c r="AJ401" s="373"/>
      <c r="AK401" s="171"/>
      <c r="AL401" s="171"/>
      <c r="AM401" s="171"/>
      <c r="AN401" s="161"/>
      <c r="AO401" s="193"/>
      <c r="AP401" s="193" t="e">
        <f t="shared" ca="1" si="273"/>
        <v>#NAME?</v>
      </c>
      <c r="AQ401" s="200"/>
      <c r="AR401" s="204"/>
      <c r="AS401" s="204"/>
      <c r="AT401" s="204"/>
      <c r="AU401" s="204"/>
      <c r="AV401" s="204"/>
    </row>
    <row r="402" spans="1:48" ht="12" customHeight="1">
      <c r="A402" s="62"/>
      <c r="B402" s="62"/>
      <c r="C402" s="62"/>
      <c r="D402" s="62"/>
      <c r="E402" s="62"/>
      <c r="F402" s="62"/>
      <c r="G402" s="62"/>
      <c r="H402" s="304"/>
      <c r="I402" s="346"/>
      <c r="J402" s="303">
        <v>324</v>
      </c>
      <c r="K402" s="19" t="s">
        <v>360</v>
      </c>
      <c r="L402" s="112">
        <f t="shared" ref="L402:Z402" si="303">L403</f>
        <v>0</v>
      </c>
      <c r="M402" s="112">
        <f t="shared" si="303"/>
        <v>0</v>
      </c>
      <c r="N402" s="113">
        <f t="shared" si="303"/>
        <v>0</v>
      </c>
      <c r="O402" s="113">
        <f t="shared" si="303"/>
        <v>0</v>
      </c>
      <c r="P402" s="114">
        <f t="shared" si="303"/>
        <v>0</v>
      </c>
      <c r="Q402" s="114">
        <f t="shared" si="303"/>
        <v>0</v>
      </c>
      <c r="R402" s="88">
        <f t="shared" si="303"/>
        <v>0</v>
      </c>
      <c r="S402" s="90" t="e">
        <f t="shared" ca="1" si="303"/>
        <v>#NAME?</v>
      </c>
      <c r="T402" s="90"/>
      <c r="U402" s="90"/>
      <c r="V402" s="200">
        <f>V403</f>
        <v>0</v>
      </c>
      <c r="W402" s="200">
        <f t="shared" si="303"/>
        <v>0</v>
      </c>
      <c r="X402" s="88">
        <f t="shared" si="303"/>
        <v>0</v>
      </c>
      <c r="Y402" s="171">
        <f t="shared" si="303"/>
        <v>0</v>
      </c>
      <c r="Z402" s="171">
        <f t="shared" si="303"/>
        <v>0</v>
      </c>
      <c r="AA402" s="370" t="e">
        <f t="shared" ca="1" si="275"/>
        <v>#NAME?</v>
      </c>
      <c r="AB402" s="171"/>
      <c r="AC402" s="172">
        <f>AC403</f>
        <v>0</v>
      </c>
      <c r="AD402" s="172">
        <f>AD403</f>
        <v>0</v>
      </c>
      <c r="AE402" s="178"/>
      <c r="AF402" s="178"/>
      <c r="AG402" s="178"/>
      <c r="AH402" s="178"/>
      <c r="AI402" s="171"/>
      <c r="AJ402" s="171">
        <v>0</v>
      </c>
      <c r="AK402" s="171"/>
      <c r="AL402" s="171"/>
      <c r="AM402" s="171"/>
      <c r="AN402" s="90"/>
      <c r="AO402" s="193"/>
      <c r="AP402" s="193" t="e">
        <f t="shared" ca="1" si="273"/>
        <v>#NAME?</v>
      </c>
      <c r="AQ402" s="200">
        <f>AQ403</f>
        <v>0</v>
      </c>
      <c r="AR402" s="204"/>
      <c r="AS402" s="204"/>
      <c r="AT402" s="204"/>
      <c r="AU402" s="204"/>
      <c r="AV402" s="204"/>
    </row>
    <row r="403" spans="1:48" ht="12" customHeight="1">
      <c r="A403" s="53"/>
      <c r="B403" s="53"/>
      <c r="C403" s="53"/>
      <c r="D403" s="53"/>
      <c r="E403" s="53"/>
      <c r="F403" s="53"/>
      <c r="G403" s="53"/>
      <c r="H403" s="1" t="s">
        <v>361</v>
      </c>
      <c r="I403" s="345">
        <v>111</v>
      </c>
      <c r="J403" s="229">
        <v>3241</v>
      </c>
      <c r="K403" s="18" t="s">
        <v>362</v>
      </c>
      <c r="L403" s="130">
        <v>0</v>
      </c>
      <c r="M403" s="130">
        <v>0</v>
      </c>
      <c r="N403" s="131">
        <v>0</v>
      </c>
      <c r="O403" s="131">
        <v>0</v>
      </c>
      <c r="P403" s="132">
        <v>0</v>
      </c>
      <c r="Q403" s="132">
        <v>0</v>
      </c>
      <c r="R403" s="159">
        <v>0</v>
      </c>
      <c r="S403" s="165" t="e">
        <f ca="1">__xlfn.XLOOKUP(H403,[1]Izvršenje_proračuna_po_pozicija!$B$2:$B$153,[1]Izvršenje_proračuna_po_pozicija!$E$2:$E$153,0)</f>
        <v>#NAME?</v>
      </c>
      <c r="T403" s="165"/>
      <c r="U403" s="165"/>
      <c r="V403" s="200"/>
      <c r="W403" s="200"/>
      <c r="X403" s="164"/>
      <c r="Y403" s="378"/>
      <c r="Z403" s="378"/>
      <c r="AA403" s="370" t="e">
        <f t="shared" ca="1" si="275"/>
        <v>#NAME?</v>
      </c>
      <c r="AB403" s="183"/>
      <c r="AC403" s="178">
        <v>0</v>
      </c>
      <c r="AD403" s="178">
        <v>0</v>
      </c>
      <c r="AE403" s="178"/>
      <c r="AF403" s="178"/>
      <c r="AG403" s="178"/>
      <c r="AH403" s="178"/>
      <c r="AI403" s="183"/>
      <c r="AJ403" s="378"/>
      <c r="AK403" s="171"/>
      <c r="AL403" s="171"/>
      <c r="AM403" s="171"/>
      <c r="AN403" s="165"/>
      <c r="AO403" s="193"/>
      <c r="AP403" s="193" t="e">
        <f t="shared" ca="1" si="273"/>
        <v>#NAME?</v>
      </c>
      <c r="AQ403" s="200"/>
      <c r="AR403" s="204"/>
      <c r="AS403" s="204"/>
      <c r="AT403" s="204"/>
      <c r="AU403" s="204"/>
      <c r="AV403" s="204"/>
    </row>
    <row r="404" spans="1:48" ht="12" customHeight="1">
      <c r="A404" s="42"/>
      <c r="B404" s="42"/>
      <c r="C404" s="42"/>
      <c r="D404" s="42"/>
      <c r="E404" s="42"/>
      <c r="F404" s="42"/>
      <c r="G404" s="42"/>
      <c r="H404" s="308"/>
      <c r="I404" s="14"/>
      <c r="J404" s="2"/>
      <c r="K404" s="231"/>
      <c r="L404" s="85"/>
      <c r="M404" s="85"/>
      <c r="N404" s="86"/>
      <c r="O404" s="86"/>
      <c r="P404" s="87"/>
      <c r="Q404" s="87"/>
      <c r="R404" s="160"/>
      <c r="S404" s="165" t="e">
        <f ca="1">__xlfn.XLOOKUP(H404,[1]Izvršenje_proračuna_po_pozicija!$B$2:$B$153,[1]Izvršenje_proračuna_po_pozicija!$E$2:$E$153,0)</f>
        <v>#NAME?</v>
      </c>
      <c r="T404" s="165"/>
      <c r="U404" s="165"/>
      <c r="V404" s="200"/>
      <c r="W404" s="200"/>
      <c r="X404" s="361"/>
      <c r="Y404" s="373"/>
      <c r="Z404" s="373"/>
      <c r="AA404" s="370" t="e">
        <f t="shared" ca="1" si="275"/>
        <v>#NAME?</v>
      </c>
      <c r="AB404" s="181"/>
      <c r="AC404" s="182"/>
      <c r="AD404" s="182"/>
      <c r="AE404" s="178"/>
      <c r="AF404" s="178"/>
      <c r="AG404" s="178"/>
      <c r="AH404" s="178"/>
      <c r="AI404" s="181"/>
      <c r="AJ404" s="373"/>
      <c r="AK404" s="171"/>
      <c r="AL404" s="171"/>
      <c r="AM404" s="171"/>
      <c r="AN404" s="161"/>
      <c r="AO404" s="193"/>
      <c r="AP404" s="193" t="e">
        <f t="shared" ca="1" si="273"/>
        <v>#NAME?</v>
      </c>
      <c r="AQ404" s="200"/>
      <c r="AR404" s="204"/>
      <c r="AS404" s="204"/>
      <c r="AT404" s="204"/>
      <c r="AU404" s="204"/>
      <c r="AV404" s="204"/>
    </row>
    <row r="405" spans="1:48" ht="12" customHeight="1">
      <c r="A405" s="62"/>
      <c r="B405" s="62"/>
      <c r="C405" s="62"/>
      <c r="D405" s="62"/>
      <c r="E405" s="62"/>
      <c r="F405" s="62"/>
      <c r="G405" s="62"/>
      <c r="H405" s="304"/>
      <c r="I405" s="346"/>
      <c r="J405" s="303">
        <v>329</v>
      </c>
      <c r="K405" s="19" t="s">
        <v>363</v>
      </c>
      <c r="L405" s="112">
        <f t="shared" ref="L405:Z405" si="304">L406</f>
        <v>59038</v>
      </c>
      <c r="M405" s="112">
        <f t="shared" si="304"/>
        <v>7835.6891631826929</v>
      </c>
      <c r="N405" s="113">
        <f t="shared" si="304"/>
        <v>49821</v>
      </c>
      <c r="O405" s="113">
        <f t="shared" si="304"/>
        <v>6612.3830380250838</v>
      </c>
      <c r="P405" s="114">
        <f t="shared" si="304"/>
        <v>11500</v>
      </c>
      <c r="Q405" s="114">
        <f t="shared" si="304"/>
        <v>11500</v>
      </c>
      <c r="R405" s="88">
        <f t="shared" si="304"/>
        <v>8845</v>
      </c>
      <c r="S405" s="90">
        <f t="shared" si="304"/>
        <v>3811</v>
      </c>
      <c r="T405" s="90"/>
      <c r="U405" s="90"/>
      <c r="V405" s="200">
        <f>V406</f>
        <v>11500</v>
      </c>
      <c r="W405" s="200">
        <f t="shared" si="304"/>
        <v>11500</v>
      </c>
      <c r="X405" s="88">
        <f t="shared" si="304"/>
        <v>13000</v>
      </c>
      <c r="Y405" s="171">
        <f t="shared" si="304"/>
        <v>15000</v>
      </c>
      <c r="Z405" s="171">
        <f t="shared" si="304"/>
        <v>0</v>
      </c>
      <c r="AA405" s="370" t="e">
        <f t="shared" ca="1" si="275"/>
        <v>#NAME?</v>
      </c>
      <c r="AB405" s="171"/>
      <c r="AC405" s="172">
        <f>AC406</f>
        <v>12000</v>
      </c>
      <c r="AD405" s="172">
        <f>AD406</f>
        <v>12000</v>
      </c>
      <c r="AE405" s="178">
        <f>O405/M405*100</f>
        <v>84.388021274433399</v>
      </c>
      <c r="AF405" s="178">
        <f>P405/O405*100</f>
        <v>173.91611970855664</v>
      </c>
      <c r="AG405" s="178">
        <f>Q405/P405*100</f>
        <v>100</v>
      </c>
      <c r="AH405" s="178">
        <f>AC405/Q405*100</f>
        <v>104.34782608695652</v>
      </c>
      <c r="AI405" s="171"/>
      <c r="AJ405" s="171">
        <v>15000</v>
      </c>
      <c r="AK405" s="171">
        <f t="shared" ref="AK405:AK466" si="305">W405/R405*100</f>
        <v>130.01695873374788</v>
      </c>
      <c r="AL405" s="171">
        <f t="shared" ref="AL405:AM466" si="306">X405/W405*100</f>
        <v>113.04347826086956</v>
      </c>
      <c r="AM405" s="171">
        <f t="shared" si="306"/>
        <v>115.38461538461537</v>
      </c>
      <c r="AN405" s="90"/>
      <c r="AO405" s="193"/>
      <c r="AP405" s="193" t="e">
        <f t="shared" ca="1" si="273"/>
        <v>#NAME?</v>
      </c>
      <c r="AQ405" s="200">
        <f>AQ406</f>
        <v>4264.1099999999997</v>
      </c>
      <c r="AR405" s="204">
        <f t="shared" si="280"/>
        <v>130.01695873374788</v>
      </c>
      <c r="AS405" s="204">
        <f t="shared" si="281"/>
        <v>100</v>
      </c>
      <c r="AT405" s="204">
        <f t="shared" si="282"/>
        <v>130.01695873374788</v>
      </c>
      <c r="AU405" s="204">
        <f t="shared" si="283"/>
        <v>37.079217391304347</v>
      </c>
      <c r="AV405" s="204">
        <f t="shared" si="284"/>
        <v>48.209270774448839</v>
      </c>
    </row>
    <row r="406" spans="1:48" ht="12" customHeight="1">
      <c r="A406" s="53"/>
      <c r="B406" s="53"/>
      <c r="C406" s="53"/>
      <c r="D406" s="53"/>
      <c r="E406" s="53"/>
      <c r="F406" s="53"/>
      <c r="G406" s="53"/>
      <c r="H406" s="1">
        <v>24</v>
      </c>
      <c r="I406" s="345">
        <v>111</v>
      </c>
      <c r="J406" s="229">
        <v>3293</v>
      </c>
      <c r="K406" s="18" t="s">
        <v>260</v>
      </c>
      <c r="L406" s="130">
        <v>59038</v>
      </c>
      <c r="M406" s="130">
        <f>59038/7.5345</f>
        <v>7835.6891631826929</v>
      </c>
      <c r="N406" s="131">
        <v>49821</v>
      </c>
      <c r="O406" s="131">
        <f>N406/7.5345</f>
        <v>6612.3830380250838</v>
      </c>
      <c r="P406" s="132">
        <v>11500</v>
      </c>
      <c r="Q406" s="132">
        <v>11500</v>
      </c>
      <c r="R406" s="159">
        <v>8845</v>
      </c>
      <c r="S406" s="165">
        <v>3811</v>
      </c>
      <c r="T406" s="165"/>
      <c r="U406" s="165"/>
      <c r="V406" s="200">
        <v>11500</v>
      </c>
      <c r="W406" s="200">
        <v>11500</v>
      </c>
      <c r="X406" s="164">
        <v>13000</v>
      </c>
      <c r="Y406" s="378">
        <v>15000</v>
      </c>
      <c r="Z406" s="378"/>
      <c r="AA406" s="370" t="e">
        <f t="shared" ca="1" si="275"/>
        <v>#NAME?</v>
      </c>
      <c r="AB406" s="183"/>
      <c r="AC406" s="178">
        <v>12000</v>
      </c>
      <c r="AD406" s="178">
        <v>12000</v>
      </c>
      <c r="AE406" s="178">
        <f>O406/M406*100</f>
        <v>84.388021274433399</v>
      </c>
      <c r="AF406" s="178">
        <f>P406/O406*100</f>
        <v>173.91611970855664</v>
      </c>
      <c r="AG406" s="178">
        <f>Q406/P406*100</f>
        <v>100</v>
      </c>
      <c r="AH406" s="178">
        <f>AC406/Q406*100</f>
        <v>104.34782608695652</v>
      </c>
      <c r="AI406" s="183"/>
      <c r="AJ406" s="378">
        <v>15000</v>
      </c>
      <c r="AK406" s="171">
        <f t="shared" si="305"/>
        <v>130.01695873374788</v>
      </c>
      <c r="AL406" s="171">
        <f t="shared" si="306"/>
        <v>113.04347826086956</v>
      </c>
      <c r="AM406" s="171">
        <f t="shared" si="306"/>
        <v>115.38461538461537</v>
      </c>
      <c r="AN406" s="165"/>
      <c r="AO406" s="193"/>
      <c r="AP406" s="193" t="e">
        <f t="shared" ca="1" si="273"/>
        <v>#NAME?</v>
      </c>
      <c r="AQ406" s="200">
        <v>4264.1099999999997</v>
      </c>
      <c r="AR406" s="204">
        <f t="shared" si="280"/>
        <v>130.01695873374788</v>
      </c>
      <c r="AS406" s="204">
        <f t="shared" si="281"/>
        <v>100</v>
      </c>
      <c r="AT406" s="204">
        <f t="shared" si="282"/>
        <v>130.01695873374788</v>
      </c>
      <c r="AU406" s="204">
        <f t="shared" si="283"/>
        <v>37.079217391304347</v>
      </c>
      <c r="AV406" s="204">
        <f t="shared" si="284"/>
        <v>48.209270774448839</v>
      </c>
    </row>
    <row r="407" spans="1:48" ht="12" customHeight="1">
      <c r="A407" s="53"/>
      <c r="B407" s="53"/>
      <c r="C407" s="53"/>
      <c r="D407" s="53"/>
      <c r="E407" s="53"/>
      <c r="F407" s="53"/>
      <c r="G407" s="53"/>
      <c r="H407" s="1"/>
      <c r="I407" s="401"/>
      <c r="J407" s="402"/>
      <c r="K407" s="133" t="s">
        <v>364</v>
      </c>
      <c r="L407" s="130"/>
      <c r="M407" s="130"/>
      <c r="N407" s="131">
        <v>0</v>
      </c>
      <c r="O407" s="131">
        <f>N407/7.5345</f>
        <v>0</v>
      </c>
      <c r="P407" s="132">
        <v>8000</v>
      </c>
      <c r="Q407" s="132">
        <v>8000</v>
      </c>
      <c r="R407" s="159"/>
      <c r="S407" s="165" t="e">
        <f ca="1">__xlfn.XLOOKUP(H407,[1]Izvršenje_proračuna_po_pozicija!$B$2:$B$153,[1]Izvršenje_proračuna_po_pozicija!$E$2:$E$153,0)</f>
        <v>#NAME?</v>
      </c>
      <c r="T407" s="165"/>
      <c r="U407" s="165"/>
      <c r="V407" s="200">
        <v>8000</v>
      </c>
      <c r="W407" s="200">
        <v>8000</v>
      </c>
      <c r="X407" s="164">
        <v>9000</v>
      </c>
      <c r="Y407" s="378">
        <v>10000</v>
      </c>
      <c r="Z407" s="378"/>
      <c r="AA407" s="370" t="e">
        <f t="shared" ca="1" si="275"/>
        <v>#NAME?</v>
      </c>
      <c r="AB407" s="183"/>
      <c r="AC407" s="178"/>
      <c r="AD407" s="178"/>
      <c r="AE407" s="178"/>
      <c r="AF407" s="178"/>
      <c r="AG407" s="178"/>
      <c r="AH407" s="178"/>
      <c r="AI407" s="183"/>
      <c r="AJ407" s="378">
        <v>10000</v>
      </c>
      <c r="AK407" s="171"/>
      <c r="AL407" s="171">
        <f t="shared" si="306"/>
        <v>112.5</v>
      </c>
      <c r="AM407" s="171">
        <f t="shared" si="306"/>
        <v>111.11111111111111</v>
      </c>
      <c r="AN407" s="165"/>
      <c r="AO407" s="193"/>
      <c r="AP407" s="193" t="e">
        <f t="shared" ca="1" si="273"/>
        <v>#NAME?</v>
      </c>
      <c r="AQ407" s="200"/>
      <c r="AR407" s="204"/>
      <c r="AS407" s="204">
        <f t="shared" si="281"/>
        <v>100</v>
      </c>
      <c r="AT407" s="204"/>
      <c r="AU407" s="204">
        <f t="shared" si="283"/>
        <v>0</v>
      </c>
      <c r="AV407" s="204"/>
    </row>
    <row r="408" spans="1:48" ht="12" customHeight="1">
      <c r="A408" s="53"/>
      <c r="B408" s="53"/>
      <c r="C408" s="53"/>
      <c r="D408" s="53"/>
      <c r="E408" s="53"/>
      <c r="F408" s="53"/>
      <c r="G408" s="53"/>
      <c r="H408" s="1"/>
      <c r="I408" s="401"/>
      <c r="J408" s="402"/>
      <c r="K408" s="133" t="s">
        <v>365</v>
      </c>
      <c r="L408" s="119"/>
      <c r="M408" s="119"/>
      <c r="N408" s="131">
        <v>0</v>
      </c>
      <c r="O408" s="131">
        <f>N408/7.5345</f>
        <v>0</v>
      </c>
      <c r="P408" s="132">
        <v>3500</v>
      </c>
      <c r="Q408" s="132">
        <v>3500</v>
      </c>
      <c r="R408" s="159"/>
      <c r="S408" s="165" t="e">
        <f ca="1">__xlfn.XLOOKUP(H408,[1]Izvršenje_proračuna_po_pozicija!$B$2:$B$153,[1]Izvršenje_proračuna_po_pozicija!$E$2:$E$153,0)</f>
        <v>#NAME?</v>
      </c>
      <c r="T408" s="165"/>
      <c r="U408" s="165"/>
      <c r="V408" s="200">
        <v>3500</v>
      </c>
      <c r="W408" s="200">
        <v>3500</v>
      </c>
      <c r="X408" s="164">
        <v>4000</v>
      </c>
      <c r="Y408" s="378">
        <v>5000</v>
      </c>
      <c r="Z408" s="378"/>
      <c r="AA408" s="370" t="e">
        <f t="shared" ca="1" si="275"/>
        <v>#NAME?</v>
      </c>
      <c r="AB408" s="183"/>
      <c r="AC408" s="180"/>
      <c r="AD408" s="180"/>
      <c r="AE408" s="178"/>
      <c r="AF408" s="178"/>
      <c r="AG408" s="178"/>
      <c r="AH408" s="178"/>
      <c r="AI408" s="183"/>
      <c r="AJ408" s="378">
        <v>5000</v>
      </c>
      <c r="AK408" s="171"/>
      <c r="AL408" s="171">
        <f t="shared" si="306"/>
        <v>114.28571428571428</v>
      </c>
      <c r="AM408" s="171">
        <f t="shared" si="306"/>
        <v>125</v>
      </c>
      <c r="AN408" s="165"/>
      <c r="AO408" s="193"/>
      <c r="AP408" s="193" t="e">
        <f t="shared" ca="1" si="273"/>
        <v>#NAME?</v>
      </c>
      <c r="AQ408" s="200"/>
      <c r="AR408" s="204"/>
      <c r="AS408" s="204">
        <f t="shared" si="281"/>
        <v>100</v>
      </c>
      <c r="AT408" s="204"/>
      <c r="AU408" s="204">
        <f t="shared" si="283"/>
        <v>0</v>
      </c>
      <c r="AV408" s="204"/>
    </row>
    <row r="409" spans="1:48" ht="12" customHeight="1">
      <c r="A409" s="390" t="s">
        <v>366</v>
      </c>
      <c r="B409" s="391"/>
      <c r="C409" s="391"/>
      <c r="D409" s="391"/>
      <c r="E409" s="391"/>
      <c r="F409" s="391"/>
      <c r="G409" s="391"/>
      <c r="H409" s="392"/>
      <c r="I409" s="403" t="s">
        <v>367</v>
      </c>
      <c r="J409" s="339"/>
      <c r="K409" s="340"/>
      <c r="L409" s="112">
        <f t="shared" ref="L409:S409" si="307">L411</f>
        <v>1146157</v>
      </c>
      <c r="M409" s="112">
        <f t="shared" si="307"/>
        <v>152121.17592408252</v>
      </c>
      <c r="N409" s="113">
        <f t="shared" si="307"/>
        <v>707210</v>
      </c>
      <c r="O409" s="113">
        <f t="shared" si="307"/>
        <v>93862.897338907685</v>
      </c>
      <c r="P409" s="114">
        <f t="shared" si="307"/>
        <v>166840</v>
      </c>
      <c r="Q409" s="114">
        <f t="shared" si="307"/>
        <v>189240</v>
      </c>
      <c r="R409" s="88">
        <f t="shared" si="307"/>
        <v>155182</v>
      </c>
      <c r="S409" s="90" t="e">
        <f t="shared" ca="1" si="307"/>
        <v>#NAME?</v>
      </c>
      <c r="T409" s="90"/>
      <c r="U409" s="90"/>
      <c r="V409" s="200">
        <f>V411</f>
        <v>210390</v>
      </c>
      <c r="W409" s="200">
        <f>W411</f>
        <v>209619</v>
      </c>
      <c r="X409" s="88">
        <f>X411</f>
        <v>339160</v>
      </c>
      <c r="Y409" s="171">
        <f>Y411</f>
        <v>304248</v>
      </c>
      <c r="Z409" s="171">
        <f>Z411</f>
        <v>0</v>
      </c>
      <c r="AA409" s="370" t="e">
        <f t="shared" ca="1" si="275"/>
        <v>#NAME?</v>
      </c>
      <c r="AB409" s="171"/>
      <c r="AC409" s="172">
        <f>AC411</f>
        <v>179750</v>
      </c>
      <c r="AD409" s="172">
        <f>AD411</f>
        <v>179750</v>
      </c>
      <c r="AE409" s="178">
        <f>O409/M409*100</f>
        <v>61.702716120042901</v>
      </c>
      <c r="AF409" s="178">
        <f>P409/O409*100</f>
        <v>177.74861497999183</v>
      </c>
      <c r="AG409" s="178">
        <f>Q409/P409*100</f>
        <v>113.42603692160154</v>
      </c>
      <c r="AH409" s="178">
        <f>AC409/Q409*100</f>
        <v>94.985203973789893</v>
      </c>
      <c r="AI409" s="171"/>
      <c r="AJ409" s="171">
        <v>304248</v>
      </c>
      <c r="AK409" s="171">
        <f t="shared" si="305"/>
        <v>135.07945509144102</v>
      </c>
      <c r="AL409" s="171">
        <f t="shared" si="306"/>
        <v>161.79831026767613</v>
      </c>
      <c r="AM409" s="171">
        <f t="shared" si="306"/>
        <v>89.706333294020524</v>
      </c>
      <c r="AN409" s="90"/>
      <c r="AO409" s="193"/>
      <c r="AP409" s="193" t="e">
        <f t="shared" ca="1" si="273"/>
        <v>#NAME?</v>
      </c>
      <c r="AQ409" s="200">
        <f>AQ411</f>
        <v>181665.52000000002</v>
      </c>
      <c r="AR409" s="204">
        <f t="shared" si="280"/>
        <v>135.57629106468534</v>
      </c>
      <c r="AS409" s="204">
        <f t="shared" si="281"/>
        <v>99.633537715670897</v>
      </c>
      <c r="AT409" s="204">
        <f t="shared" si="282"/>
        <v>135.07945509144102</v>
      </c>
      <c r="AU409" s="204">
        <f t="shared" si="283"/>
        <v>86.664624867020663</v>
      </c>
      <c r="AV409" s="204">
        <f t="shared" si="284"/>
        <v>117.06610302741298</v>
      </c>
    </row>
    <row r="410" spans="1:48" ht="12" customHeight="1">
      <c r="A410" s="69"/>
      <c r="B410" s="69"/>
      <c r="C410" s="69"/>
      <c r="D410" s="69"/>
      <c r="E410" s="69"/>
      <c r="F410" s="69"/>
      <c r="G410" s="69"/>
      <c r="H410" s="389"/>
      <c r="I410" s="341"/>
      <c r="J410" s="281"/>
      <c r="K410" s="70"/>
      <c r="L410" s="217"/>
      <c r="M410" s="217"/>
      <c r="N410" s="218"/>
      <c r="O410" s="218"/>
      <c r="P410" s="219"/>
      <c r="Q410" s="219"/>
      <c r="R410" s="282"/>
      <c r="S410" s="165" t="e">
        <f ca="1">__xlfn.XLOOKUP(H410,[1]Izvršenje_proračuna_po_pozicija!$B$2:$B$153,[1]Izvršenje_proračuna_po_pozicija!$E$2:$E$153,0)</f>
        <v>#NAME?</v>
      </c>
      <c r="T410" s="165"/>
      <c r="U410" s="165"/>
      <c r="V410" s="200"/>
      <c r="W410" s="200"/>
      <c r="X410" s="167"/>
      <c r="Y410" s="424"/>
      <c r="Z410" s="424"/>
      <c r="AA410" s="370" t="e">
        <f t="shared" ca="1" si="275"/>
        <v>#NAME?</v>
      </c>
      <c r="AB410" s="223"/>
      <c r="AC410" s="224"/>
      <c r="AD410" s="224"/>
      <c r="AE410" s="178"/>
      <c r="AF410" s="178"/>
      <c r="AG410" s="178"/>
      <c r="AH410" s="178"/>
      <c r="AI410" s="223"/>
      <c r="AJ410" s="424"/>
      <c r="AK410" s="171"/>
      <c r="AL410" s="171"/>
      <c r="AM410" s="171"/>
      <c r="AN410" s="222"/>
      <c r="AO410" s="193"/>
      <c r="AP410" s="193" t="e">
        <f t="shared" ca="1" si="273"/>
        <v>#NAME?</v>
      </c>
      <c r="AQ410" s="200"/>
      <c r="AR410" s="204"/>
      <c r="AS410" s="204"/>
      <c r="AT410" s="204"/>
      <c r="AU410" s="204"/>
      <c r="AV410" s="204"/>
    </row>
    <row r="411" spans="1:48" ht="12" customHeight="1">
      <c r="A411" s="24"/>
      <c r="B411" s="24"/>
      <c r="C411" s="24"/>
      <c r="D411" s="24"/>
      <c r="E411" s="24"/>
      <c r="F411" s="24"/>
      <c r="G411" s="24"/>
      <c r="H411" s="393"/>
      <c r="I411" s="404"/>
      <c r="J411" s="281">
        <v>3</v>
      </c>
      <c r="K411" s="2" t="s">
        <v>224</v>
      </c>
      <c r="L411" s="112">
        <f t="shared" ref="L411:S411" si="308">L412+L443</f>
        <v>1146157</v>
      </c>
      <c r="M411" s="112">
        <f t="shared" si="308"/>
        <v>152121.17592408252</v>
      </c>
      <c r="N411" s="113">
        <f t="shared" si="308"/>
        <v>707210</v>
      </c>
      <c r="O411" s="113">
        <f t="shared" si="308"/>
        <v>93862.897338907685</v>
      </c>
      <c r="P411" s="114">
        <f t="shared" si="308"/>
        <v>166840</v>
      </c>
      <c r="Q411" s="114">
        <f t="shared" si="308"/>
        <v>189240</v>
      </c>
      <c r="R411" s="88">
        <f t="shared" si="308"/>
        <v>155182</v>
      </c>
      <c r="S411" s="90" t="e">
        <f t="shared" ca="1" si="308"/>
        <v>#NAME?</v>
      </c>
      <c r="T411" s="90"/>
      <c r="U411" s="90"/>
      <c r="V411" s="200">
        <f>V412+V443</f>
        <v>210390</v>
      </c>
      <c r="W411" s="200">
        <f>W412+W443</f>
        <v>209619</v>
      </c>
      <c r="X411" s="88">
        <f>X412+X443</f>
        <v>339160</v>
      </c>
      <c r="Y411" s="171">
        <f>Y412+Y443</f>
        <v>304248</v>
      </c>
      <c r="Z411" s="171">
        <f>Z412+Z443</f>
        <v>0</v>
      </c>
      <c r="AA411" s="370" t="e">
        <f t="shared" ca="1" si="275"/>
        <v>#NAME?</v>
      </c>
      <c r="AB411" s="171"/>
      <c r="AC411" s="172">
        <f>AC412+AC443</f>
        <v>179750</v>
      </c>
      <c r="AD411" s="172">
        <f>AD412+AD443</f>
        <v>179750</v>
      </c>
      <c r="AE411" s="178">
        <f>O411/M411*100</f>
        <v>61.702716120042901</v>
      </c>
      <c r="AF411" s="178">
        <f>P411/O411*100</f>
        <v>177.74861497999183</v>
      </c>
      <c r="AG411" s="178">
        <f>Q411/P411*100</f>
        <v>113.42603692160154</v>
      </c>
      <c r="AH411" s="178">
        <f>AC411/Q411*100</f>
        <v>94.985203973789893</v>
      </c>
      <c r="AI411" s="171"/>
      <c r="AJ411" s="171">
        <v>304248</v>
      </c>
      <c r="AK411" s="171">
        <f t="shared" si="305"/>
        <v>135.07945509144102</v>
      </c>
      <c r="AL411" s="171">
        <f t="shared" si="306"/>
        <v>161.79831026767613</v>
      </c>
      <c r="AM411" s="171">
        <f t="shared" si="306"/>
        <v>89.706333294020524</v>
      </c>
      <c r="AN411" s="90"/>
      <c r="AO411" s="193"/>
      <c r="AP411" s="193" t="e">
        <f t="shared" ca="1" si="273"/>
        <v>#NAME?</v>
      </c>
      <c r="AQ411" s="200">
        <f>AQ412+AQ443</f>
        <v>181665.52000000002</v>
      </c>
      <c r="AR411" s="204">
        <f t="shared" si="280"/>
        <v>135.57629106468534</v>
      </c>
      <c r="AS411" s="204">
        <f t="shared" si="281"/>
        <v>99.633537715670897</v>
      </c>
      <c r="AT411" s="204">
        <f t="shared" si="282"/>
        <v>135.07945509144102</v>
      </c>
      <c r="AU411" s="204">
        <f t="shared" si="283"/>
        <v>86.664624867020663</v>
      </c>
      <c r="AV411" s="204">
        <f t="shared" si="284"/>
        <v>117.06610302741298</v>
      </c>
    </row>
    <row r="412" spans="1:48" ht="12" customHeight="1">
      <c r="A412" s="301"/>
      <c r="B412" s="301"/>
      <c r="C412" s="301"/>
      <c r="D412" s="301"/>
      <c r="E412" s="301"/>
      <c r="F412" s="301"/>
      <c r="G412" s="301"/>
      <c r="H412" s="307"/>
      <c r="I412" s="405"/>
      <c r="J412" s="302">
        <v>32</v>
      </c>
      <c r="K412" s="343" t="s">
        <v>233</v>
      </c>
      <c r="L412" s="112">
        <f t="shared" ref="L412:S412" si="309">L414+L422</f>
        <v>1058877</v>
      </c>
      <c r="M412" s="112">
        <f t="shared" si="309"/>
        <v>140537.12920565397</v>
      </c>
      <c r="N412" s="113">
        <f t="shared" si="309"/>
        <v>699537</v>
      </c>
      <c r="O412" s="113">
        <f t="shared" si="309"/>
        <v>92844.515229942263</v>
      </c>
      <c r="P412" s="114">
        <f t="shared" si="309"/>
        <v>147100</v>
      </c>
      <c r="Q412" s="114">
        <f t="shared" si="309"/>
        <v>168500</v>
      </c>
      <c r="R412" s="88">
        <f t="shared" si="309"/>
        <v>154982</v>
      </c>
      <c r="S412" s="90" t="e">
        <f t="shared" ca="1" si="309"/>
        <v>#NAME?</v>
      </c>
      <c r="T412" s="90"/>
      <c r="U412" s="90"/>
      <c r="V412" s="200">
        <f>V414+V422</f>
        <v>201000</v>
      </c>
      <c r="W412" s="200">
        <f>W414+W422</f>
        <v>200229</v>
      </c>
      <c r="X412" s="88">
        <f>X414+X422</f>
        <v>326500</v>
      </c>
      <c r="Y412" s="171">
        <f>Y414+Y422</f>
        <v>295500</v>
      </c>
      <c r="Z412" s="171">
        <f>Z414+Z422</f>
        <v>0</v>
      </c>
      <c r="AA412" s="370" t="e">
        <f t="shared" ca="1" si="275"/>
        <v>#NAME?</v>
      </c>
      <c r="AB412" s="171"/>
      <c r="AC412" s="172">
        <f>AC414+AC422</f>
        <v>158300</v>
      </c>
      <c r="AD412" s="172">
        <f>AD414+AD422</f>
        <v>158300</v>
      </c>
      <c r="AE412" s="178">
        <f>O412/M412*100</f>
        <v>66.064047098954845</v>
      </c>
      <c r="AF412" s="178">
        <f>P412/O412*100</f>
        <v>158.43693042683947</v>
      </c>
      <c r="AG412" s="178">
        <f>Q412/P412*100</f>
        <v>114.54792658055743</v>
      </c>
      <c r="AH412" s="178">
        <f>AC412/Q412*100</f>
        <v>93.946587537091986</v>
      </c>
      <c r="AI412" s="171"/>
      <c r="AJ412" s="171">
        <v>295500</v>
      </c>
      <c r="AK412" s="171">
        <f t="shared" si="305"/>
        <v>129.19500329070473</v>
      </c>
      <c r="AL412" s="171">
        <f t="shared" si="306"/>
        <v>163.0632925300531</v>
      </c>
      <c r="AM412" s="171">
        <f t="shared" si="306"/>
        <v>90.505359877488516</v>
      </c>
      <c r="AN412" s="90"/>
      <c r="AO412" s="193"/>
      <c r="AP412" s="193" t="e">
        <f t="shared" ca="1" si="273"/>
        <v>#NAME?</v>
      </c>
      <c r="AQ412" s="200">
        <f>AQ414+AQ422</f>
        <v>180165.52000000002</v>
      </c>
      <c r="AR412" s="204">
        <f t="shared" si="280"/>
        <v>129.6924804170807</v>
      </c>
      <c r="AS412" s="204">
        <f t="shared" si="281"/>
        <v>99.616417910447765</v>
      </c>
      <c r="AT412" s="204">
        <f t="shared" si="282"/>
        <v>129.19500329070473</v>
      </c>
      <c r="AU412" s="204">
        <f t="shared" si="283"/>
        <v>89.979733205479732</v>
      </c>
      <c r="AV412" s="204">
        <f t="shared" si="284"/>
        <v>116.24931927578687</v>
      </c>
    </row>
    <row r="413" spans="1:48" ht="12" customHeight="1">
      <c r="A413" s="24"/>
      <c r="B413" s="24"/>
      <c r="C413" s="24"/>
      <c r="D413" s="24"/>
      <c r="E413" s="24"/>
      <c r="F413" s="24"/>
      <c r="G413" s="24"/>
      <c r="H413" s="393"/>
      <c r="I413" s="404"/>
      <c r="J413" s="281"/>
      <c r="K413" s="2"/>
      <c r="L413" s="112"/>
      <c r="M413" s="112"/>
      <c r="N413" s="113"/>
      <c r="O413" s="113"/>
      <c r="P413" s="114"/>
      <c r="Q413" s="114"/>
      <c r="R413" s="88"/>
      <c r="S413" s="165" t="e">
        <f ca="1">__xlfn.XLOOKUP(H413,[1]Izvršenje_proračuna_po_pozicija!$B$2:$B$153,[1]Izvršenje_proračuna_po_pozicija!$E$2:$E$153,0)</f>
        <v>#NAME?</v>
      </c>
      <c r="T413" s="165"/>
      <c r="U413" s="165"/>
      <c r="V413" s="200"/>
      <c r="W413" s="200"/>
      <c r="X413" s="167"/>
      <c r="Y413" s="370"/>
      <c r="Z413" s="370"/>
      <c r="AA413" s="370" t="e">
        <f t="shared" ca="1" si="275"/>
        <v>#NAME?</v>
      </c>
      <c r="AB413" s="171"/>
      <c r="AC413" s="172"/>
      <c r="AD413" s="172"/>
      <c r="AE413" s="178"/>
      <c r="AF413" s="178"/>
      <c r="AG413" s="178"/>
      <c r="AH413" s="178"/>
      <c r="AI413" s="171"/>
      <c r="AJ413" s="370"/>
      <c r="AK413" s="171"/>
      <c r="AL413" s="171"/>
      <c r="AM413" s="171"/>
      <c r="AN413" s="90"/>
      <c r="AO413" s="193"/>
      <c r="AP413" s="193" t="e">
        <f t="shared" ca="1" si="273"/>
        <v>#NAME?</v>
      </c>
      <c r="AQ413" s="200"/>
      <c r="AR413" s="204"/>
      <c r="AS413" s="204"/>
      <c r="AT413" s="204"/>
      <c r="AU413" s="204"/>
      <c r="AV413" s="204"/>
    </row>
    <row r="414" spans="1:48" ht="12" customHeight="1">
      <c r="A414" s="62"/>
      <c r="B414" s="62"/>
      <c r="C414" s="62"/>
      <c r="D414" s="62"/>
      <c r="E414" s="62"/>
      <c r="F414" s="62"/>
      <c r="G414" s="62"/>
      <c r="H414" s="304"/>
      <c r="I414" s="346"/>
      <c r="J414" s="303">
        <v>323</v>
      </c>
      <c r="K414" s="19" t="s">
        <v>356</v>
      </c>
      <c r="L414" s="112">
        <f t="shared" ref="L414:S414" si="310">L415+L416+L417+L418+L419+L420</f>
        <v>328874</v>
      </c>
      <c r="M414" s="112">
        <f t="shared" si="310"/>
        <v>43649.080894551727</v>
      </c>
      <c r="N414" s="113">
        <f t="shared" si="310"/>
        <v>88564</v>
      </c>
      <c r="O414" s="113">
        <f t="shared" si="310"/>
        <v>11754.46280443294</v>
      </c>
      <c r="P414" s="114">
        <f t="shared" si="310"/>
        <v>35500</v>
      </c>
      <c r="Q414" s="114">
        <f t="shared" si="310"/>
        <v>49500</v>
      </c>
      <c r="R414" s="88">
        <f t="shared" si="310"/>
        <v>42871</v>
      </c>
      <c r="S414" s="90" t="e">
        <f t="shared" ca="1" si="310"/>
        <v>#NAME?</v>
      </c>
      <c r="T414" s="90"/>
      <c r="U414" s="90"/>
      <c r="V414" s="200">
        <f>V415+V416+V417+V418+V419+V420</f>
        <v>51500</v>
      </c>
      <c r="W414" s="200">
        <f>W415+W416+W417+W418+W419+W420</f>
        <v>50729</v>
      </c>
      <c r="X414" s="88">
        <f>X415+X416+X417+X418+X419+X420</f>
        <v>56500</v>
      </c>
      <c r="Y414" s="171">
        <f>Y415+Y416+Y417+Y418+Y419+Y420</f>
        <v>67000</v>
      </c>
      <c r="Z414" s="171">
        <f>Z415+Z416+Z417+Z418+Z419+Z420</f>
        <v>0</v>
      </c>
      <c r="AA414" s="370" t="e">
        <f t="shared" ca="1" si="275"/>
        <v>#NAME?</v>
      </c>
      <c r="AB414" s="171"/>
      <c r="AC414" s="172">
        <f>AC415+AC416+AC417+AC418+AC419+AC420</f>
        <v>35500</v>
      </c>
      <c r="AD414" s="172">
        <f>AD415+AD416+AD417+AD418+AD419+AD420</f>
        <v>35500</v>
      </c>
      <c r="AE414" s="178">
        <f>O414/M414*100</f>
        <v>26.929462347281934</v>
      </c>
      <c r="AF414" s="178">
        <f>P414/O414*100</f>
        <v>302.0129510862202</v>
      </c>
      <c r="AG414" s="178">
        <f>Q414/P414*100</f>
        <v>139.43661971830986</v>
      </c>
      <c r="AH414" s="178">
        <f>AC414/Q414*100</f>
        <v>71.717171717171709</v>
      </c>
      <c r="AI414" s="171"/>
      <c r="AJ414" s="171">
        <v>67000</v>
      </c>
      <c r="AK414" s="171">
        <f t="shared" si="305"/>
        <v>118.32940682512654</v>
      </c>
      <c r="AL414" s="171">
        <f t="shared" si="306"/>
        <v>111.37613593802362</v>
      </c>
      <c r="AM414" s="171">
        <f t="shared" si="306"/>
        <v>118.58407079646018</v>
      </c>
      <c r="AN414" s="90"/>
      <c r="AO414" s="193"/>
      <c r="AP414" s="193" t="e">
        <f t="shared" ca="1" si="273"/>
        <v>#NAME?</v>
      </c>
      <c r="AQ414" s="200">
        <f>AQ415+AQ416+AQ417+AQ418+AQ419+AQ420</f>
        <v>38940.82</v>
      </c>
      <c r="AR414" s="204">
        <f t="shared" si="280"/>
        <v>120.12782533647454</v>
      </c>
      <c r="AS414" s="204">
        <f t="shared" si="281"/>
        <v>98.502912621359229</v>
      </c>
      <c r="AT414" s="204">
        <f t="shared" si="282"/>
        <v>118.32940682512654</v>
      </c>
      <c r="AU414" s="204">
        <f t="shared" si="283"/>
        <v>76.762443572709898</v>
      </c>
      <c r="AV414" s="204">
        <f t="shared" si="284"/>
        <v>90.832544144060094</v>
      </c>
    </row>
    <row r="415" spans="1:48" ht="12" customHeight="1">
      <c r="A415" s="53"/>
      <c r="B415" s="53"/>
      <c r="C415" s="53"/>
      <c r="D415" s="53"/>
      <c r="E415" s="53"/>
      <c r="F415" s="53"/>
      <c r="G415" s="53"/>
      <c r="H415" s="1">
        <v>17</v>
      </c>
      <c r="I415" s="345">
        <v>133</v>
      </c>
      <c r="J415" s="229">
        <v>3233</v>
      </c>
      <c r="K415" s="18" t="s">
        <v>249</v>
      </c>
      <c r="L415" s="130">
        <v>38779</v>
      </c>
      <c r="M415" s="130">
        <f>38779/7.5345</f>
        <v>5146.8577875107831</v>
      </c>
      <c r="N415" s="131">
        <v>39189</v>
      </c>
      <c r="O415" s="131">
        <f t="shared" ref="O415:O420" si="311">N415/7.5345</f>
        <v>5201.27413896078</v>
      </c>
      <c r="P415" s="132">
        <v>10500</v>
      </c>
      <c r="Q415" s="132">
        <v>10500</v>
      </c>
      <c r="R415" s="159">
        <v>3957</v>
      </c>
      <c r="S415" s="165">
        <v>8311</v>
      </c>
      <c r="T415" s="165"/>
      <c r="U415" s="165"/>
      <c r="V415" s="200">
        <v>10500</v>
      </c>
      <c r="W415" s="200">
        <v>10500</v>
      </c>
      <c r="X415" s="164">
        <v>11000</v>
      </c>
      <c r="Y415" s="378">
        <v>15000</v>
      </c>
      <c r="Z415" s="378"/>
      <c r="AA415" s="370" t="e">
        <f t="shared" ca="1" si="275"/>
        <v>#NAME?</v>
      </c>
      <c r="AB415" s="183"/>
      <c r="AC415" s="178">
        <v>10500</v>
      </c>
      <c r="AD415" s="178">
        <v>10500</v>
      </c>
      <c r="AE415" s="178">
        <f>O415/M415*100</f>
        <v>101.05727326645865</v>
      </c>
      <c r="AF415" s="178">
        <f>P415/O415*100</f>
        <v>201.87361249330169</v>
      </c>
      <c r="AG415" s="178">
        <f>Q415/P415*100</f>
        <v>100</v>
      </c>
      <c r="AH415" s="178">
        <f>AC415/Q415*100</f>
        <v>100</v>
      </c>
      <c r="AI415" s="183"/>
      <c r="AJ415" s="378">
        <v>15000</v>
      </c>
      <c r="AK415" s="171">
        <f t="shared" si="305"/>
        <v>265.35253980288098</v>
      </c>
      <c r="AL415" s="171">
        <f t="shared" si="306"/>
        <v>104.76190476190477</v>
      </c>
      <c r="AM415" s="171">
        <f t="shared" si="306"/>
        <v>136.36363636363635</v>
      </c>
      <c r="AN415" s="165"/>
      <c r="AO415" s="193"/>
      <c r="AP415" s="193" t="e">
        <f t="shared" ref="AP415:AP478" ca="1" si="312">__xlfn.ISFORMULA(X415)</f>
        <v>#NAME?</v>
      </c>
      <c r="AQ415" s="200">
        <v>9590.82</v>
      </c>
      <c r="AR415" s="204">
        <f t="shared" si="280"/>
        <v>265.35253980288098</v>
      </c>
      <c r="AS415" s="204">
        <f t="shared" si="281"/>
        <v>100</v>
      </c>
      <c r="AT415" s="204">
        <f t="shared" si="282"/>
        <v>265.35253980288098</v>
      </c>
      <c r="AU415" s="204">
        <f t="shared" si="283"/>
        <v>91.341142857142856</v>
      </c>
      <c r="AV415" s="204">
        <f t="shared" si="284"/>
        <v>242.37604245640637</v>
      </c>
    </row>
    <row r="416" spans="1:48" ht="12" customHeight="1">
      <c r="A416" s="53"/>
      <c r="B416" s="53"/>
      <c r="C416" s="53"/>
      <c r="D416" s="53"/>
      <c r="E416" s="53"/>
      <c r="F416" s="53"/>
      <c r="G416" s="53"/>
      <c r="H416" s="1" t="s">
        <v>368</v>
      </c>
      <c r="I416" s="345">
        <v>133</v>
      </c>
      <c r="J416" s="229">
        <v>3235</v>
      </c>
      <c r="K416" s="18" t="s">
        <v>369</v>
      </c>
      <c r="L416" s="130">
        <v>9470</v>
      </c>
      <c r="M416" s="130">
        <f>9470/7.5345</f>
        <v>1256.8849956865085</v>
      </c>
      <c r="N416" s="131">
        <v>2000</v>
      </c>
      <c r="O416" s="131">
        <f t="shared" si="311"/>
        <v>265.44561682925212</v>
      </c>
      <c r="P416" s="132">
        <v>1000</v>
      </c>
      <c r="Q416" s="132">
        <v>1000</v>
      </c>
      <c r="R416" s="159">
        <v>265</v>
      </c>
      <c r="S416" s="165" t="e">
        <f ca="1">__xlfn.XLOOKUP(H416,[1]Izvršenje_proračuna_po_pozicija!$B$2:$B$153,[1]Izvršenje_proračuna_po_pozicija!$E$2:$E$153,0)</f>
        <v>#NAME?</v>
      </c>
      <c r="T416" s="165"/>
      <c r="U416" s="165"/>
      <c r="V416" s="200">
        <v>1000</v>
      </c>
      <c r="W416" s="200">
        <v>1000</v>
      </c>
      <c r="X416" s="164">
        <v>500</v>
      </c>
      <c r="Y416" s="378">
        <v>1000</v>
      </c>
      <c r="Z416" s="378"/>
      <c r="AA416" s="370" t="e">
        <f t="shared" ca="1" si="275"/>
        <v>#NAME?</v>
      </c>
      <c r="AB416" s="183"/>
      <c r="AC416" s="178">
        <v>1000</v>
      </c>
      <c r="AD416" s="178">
        <v>1000</v>
      </c>
      <c r="AE416" s="178">
        <f>O416/M416*100</f>
        <v>21.119324181626194</v>
      </c>
      <c r="AF416" s="178"/>
      <c r="AG416" s="178"/>
      <c r="AH416" s="178"/>
      <c r="AI416" s="183"/>
      <c r="AJ416" s="378">
        <v>1000</v>
      </c>
      <c r="AK416" s="171">
        <f t="shared" si="305"/>
        <v>377.35849056603774</v>
      </c>
      <c r="AL416" s="171">
        <f t="shared" si="306"/>
        <v>50</v>
      </c>
      <c r="AM416" s="171">
        <f t="shared" si="306"/>
        <v>200</v>
      </c>
      <c r="AN416" s="165"/>
      <c r="AO416" s="193"/>
      <c r="AP416" s="193" t="e">
        <f t="shared" ca="1" si="312"/>
        <v>#NAME?</v>
      </c>
      <c r="AQ416" s="200">
        <v>100</v>
      </c>
      <c r="AR416" s="204">
        <f t="shared" si="280"/>
        <v>377.35849056603774</v>
      </c>
      <c r="AS416" s="204">
        <f t="shared" si="281"/>
        <v>100</v>
      </c>
      <c r="AT416" s="204">
        <f t="shared" si="282"/>
        <v>377.35849056603774</v>
      </c>
      <c r="AU416" s="204">
        <f t="shared" si="283"/>
        <v>10</v>
      </c>
      <c r="AV416" s="204">
        <f t="shared" si="284"/>
        <v>37.735849056603776</v>
      </c>
    </row>
    <row r="417" spans="1:48" ht="12" customHeight="1">
      <c r="A417" s="53"/>
      <c r="B417" s="53"/>
      <c r="C417" s="53"/>
      <c r="D417" s="53"/>
      <c r="E417" s="53"/>
      <c r="F417" s="53"/>
      <c r="G417" s="53"/>
      <c r="H417" s="1" t="s">
        <v>370</v>
      </c>
      <c r="I417" s="345">
        <v>133</v>
      </c>
      <c r="J417" s="229">
        <v>3235</v>
      </c>
      <c r="K417" s="18" t="s">
        <v>371</v>
      </c>
      <c r="L417" s="130">
        <v>0</v>
      </c>
      <c r="M417" s="130">
        <v>0</v>
      </c>
      <c r="N417" s="131">
        <v>0</v>
      </c>
      <c r="O417" s="131">
        <f t="shared" si="311"/>
        <v>0</v>
      </c>
      <c r="P417" s="132">
        <v>0</v>
      </c>
      <c r="Q417" s="132">
        <v>0</v>
      </c>
      <c r="R417" s="159">
        <v>0</v>
      </c>
      <c r="S417" s="165" t="e">
        <f ca="1">__xlfn.XLOOKUP(H417,[1]Izvršenje_proračuna_po_pozicija!$B$2:$B$153,[1]Izvršenje_proračuna_po_pozicija!$E$2:$E$153,0)</f>
        <v>#NAME?</v>
      </c>
      <c r="T417" s="165"/>
      <c r="U417" s="165"/>
      <c r="V417" s="200"/>
      <c r="W417" s="200"/>
      <c r="X417" s="164"/>
      <c r="Y417" s="378"/>
      <c r="Z417" s="378"/>
      <c r="AA417" s="370" t="e">
        <f t="shared" ref="AA417:AA480" ca="1" si="313">__xlfn.ISFORMULA(R417)</f>
        <v>#NAME?</v>
      </c>
      <c r="AB417" s="183"/>
      <c r="AC417" s="178"/>
      <c r="AD417" s="178"/>
      <c r="AE417" s="178"/>
      <c r="AF417" s="178"/>
      <c r="AG417" s="178"/>
      <c r="AH417" s="178"/>
      <c r="AI417" s="183"/>
      <c r="AJ417" s="378"/>
      <c r="AK417" s="171"/>
      <c r="AL417" s="171"/>
      <c r="AM417" s="171"/>
      <c r="AN417" s="165"/>
      <c r="AO417" s="193"/>
      <c r="AP417" s="193" t="e">
        <f t="shared" ca="1" si="312"/>
        <v>#NAME?</v>
      </c>
      <c r="AQ417" s="200"/>
      <c r="AR417" s="204"/>
      <c r="AS417" s="204"/>
      <c r="AT417" s="204"/>
      <c r="AU417" s="204"/>
      <c r="AV417" s="204"/>
    </row>
    <row r="418" spans="1:48" ht="12" customHeight="1">
      <c r="A418" s="53"/>
      <c r="B418" s="53"/>
      <c r="C418" s="53"/>
      <c r="D418" s="53"/>
      <c r="E418" s="53"/>
      <c r="F418" s="53"/>
      <c r="G418" s="53"/>
      <c r="H418" s="1" t="s">
        <v>372</v>
      </c>
      <c r="I418" s="397">
        <v>133</v>
      </c>
      <c r="J418" s="229">
        <v>3237</v>
      </c>
      <c r="K418" s="18" t="s">
        <v>373</v>
      </c>
      <c r="L418" s="130">
        <v>280375</v>
      </c>
      <c r="M418" s="130">
        <f>280375/7.5345</f>
        <v>37212.15740925078</v>
      </c>
      <c r="N418" s="131">
        <v>47375</v>
      </c>
      <c r="O418" s="131">
        <f t="shared" si="311"/>
        <v>6287.7430486429093</v>
      </c>
      <c r="P418" s="132">
        <v>20000</v>
      </c>
      <c r="Q418" s="163">
        <v>36000</v>
      </c>
      <c r="R418" s="159">
        <v>37961</v>
      </c>
      <c r="S418" s="165" t="e">
        <f ca="1">__xlfn.XLOOKUP(H418,[1]Izvršenje_proračuna_po_pozicija!$B$2:$B$153,[1]Izvršenje_proračuna_po_pozicija!$E$2:$E$153,0)</f>
        <v>#NAME?</v>
      </c>
      <c r="T418" s="165"/>
      <c r="U418" s="165"/>
      <c r="V418" s="200">
        <v>36000</v>
      </c>
      <c r="W418" s="200">
        <v>35229</v>
      </c>
      <c r="X418" s="164">
        <v>40000</v>
      </c>
      <c r="Y418" s="378">
        <v>45000</v>
      </c>
      <c r="Z418" s="378"/>
      <c r="AA418" s="370" t="e">
        <f t="shared" ca="1" si="313"/>
        <v>#NAME?</v>
      </c>
      <c r="AB418" s="183"/>
      <c r="AC418" s="178">
        <v>20000</v>
      </c>
      <c r="AD418" s="178">
        <v>20000</v>
      </c>
      <c r="AE418" s="178">
        <f>O418/M418*100</f>
        <v>16.897012929112794</v>
      </c>
      <c r="AF418" s="178">
        <f>P418/O418*100</f>
        <v>318.07915567282322</v>
      </c>
      <c r="AG418" s="178">
        <f>Q418/P418*100</f>
        <v>180</v>
      </c>
      <c r="AH418" s="178">
        <f>AC418/Q418*100</f>
        <v>55.555555555555557</v>
      </c>
      <c r="AI418" s="183"/>
      <c r="AJ418" s="378">
        <v>45000</v>
      </c>
      <c r="AK418" s="171">
        <f t="shared" si="305"/>
        <v>92.803140064803344</v>
      </c>
      <c r="AL418" s="171">
        <f t="shared" si="306"/>
        <v>113.54281983593062</v>
      </c>
      <c r="AM418" s="171">
        <f t="shared" si="306"/>
        <v>112.5</v>
      </c>
      <c r="AN418" s="165"/>
      <c r="AO418" s="193"/>
      <c r="AP418" s="193" t="e">
        <f t="shared" ca="1" si="312"/>
        <v>#NAME?</v>
      </c>
      <c r="AQ418" s="200">
        <v>29250</v>
      </c>
      <c r="AR418" s="204">
        <f>V418/R418*100</f>
        <v>94.83417191327942</v>
      </c>
      <c r="AS418" s="204">
        <f t="shared" ref="AS418:AS482" si="314">W418/V418*100</f>
        <v>97.858333333333334</v>
      </c>
      <c r="AT418" s="204">
        <f>W418/R418*100</f>
        <v>92.803140064803344</v>
      </c>
      <c r="AU418" s="204">
        <f t="shared" ref="AU418:AU482" si="315">AQ418/W418*100</f>
        <v>83.028187005024265</v>
      </c>
      <c r="AV418" s="204">
        <f>AQ418/R418*100</f>
        <v>77.052764679539536</v>
      </c>
    </row>
    <row r="419" spans="1:48" ht="12" customHeight="1">
      <c r="A419" s="53"/>
      <c r="B419" s="53"/>
      <c r="C419" s="53"/>
      <c r="D419" s="53"/>
      <c r="E419" s="53"/>
      <c r="F419" s="53"/>
      <c r="G419" s="53"/>
      <c r="H419" s="1" t="s">
        <v>374</v>
      </c>
      <c r="I419" s="397">
        <v>133</v>
      </c>
      <c r="J419" s="229">
        <v>3237</v>
      </c>
      <c r="K419" s="18" t="s">
        <v>375</v>
      </c>
      <c r="L419" s="130">
        <v>0</v>
      </c>
      <c r="M419" s="130">
        <v>0</v>
      </c>
      <c r="N419" s="131">
        <v>0</v>
      </c>
      <c r="O419" s="131">
        <f t="shared" si="311"/>
        <v>0</v>
      </c>
      <c r="P419" s="132">
        <v>0</v>
      </c>
      <c r="Q419" s="132">
        <v>0</v>
      </c>
      <c r="R419" s="159">
        <v>0</v>
      </c>
      <c r="S419" s="165" t="e">
        <f ca="1">__xlfn.XLOOKUP(H419,[1]Izvršenje_proračuna_po_pozicija!$B$2:$B$153,[1]Izvršenje_proračuna_po_pozicija!$E$2:$E$153,0)</f>
        <v>#NAME?</v>
      </c>
      <c r="T419" s="165"/>
      <c r="U419" s="165"/>
      <c r="V419" s="200"/>
      <c r="W419" s="200"/>
      <c r="X419" s="164"/>
      <c r="Y419" s="378"/>
      <c r="Z419" s="378"/>
      <c r="AA419" s="370" t="e">
        <f t="shared" ca="1" si="313"/>
        <v>#NAME?</v>
      </c>
      <c r="AB419" s="183"/>
      <c r="AC419" s="178">
        <v>0</v>
      </c>
      <c r="AD419" s="178">
        <v>0</v>
      </c>
      <c r="AE419" s="178"/>
      <c r="AF419" s="178"/>
      <c r="AG419" s="178"/>
      <c r="AH419" s="178"/>
      <c r="AI419" s="183"/>
      <c r="AJ419" s="378"/>
      <c r="AK419" s="171"/>
      <c r="AL419" s="171"/>
      <c r="AM419" s="171"/>
      <c r="AN419" s="165"/>
      <c r="AO419" s="193"/>
      <c r="AP419" s="193" t="e">
        <f t="shared" ca="1" si="312"/>
        <v>#NAME?</v>
      </c>
      <c r="AQ419" s="200"/>
      <c r="AR419" s="204"/>
      <c r="AS419" s="204"/>
      <c r="AT419" s="204"/>
      <c r="AU419" s="204"/>
      <c r="AV419" s="204"/>
    </row>
    <row r="420" spans="1:48" ht="12" customHeight="1">
      <c r="A420" s="305"/>
      <c r="B420" s="305"/>
      <c r="C420" s="305"/>
      <c r="D420" s="305"/>
      <c r="E420" s="305"/>
      <c r="F420" s="305"/>
      <c r="G420" s="305"/>
      <c r="H420" s="394" t="s">
        <v>376</v>
      </c>
      <c r="I420" s="13">
        <v>133</v>
      </c>
      <c r="J420" s="4">
        <v>3239</v>
      </c>
      <c r="K420" s="229" t="s">
        <v>377</v>
      </c>
      <c r="L420" s="137">
        <v>250</v>
      </c>
      <c r="M420" s="137">
        <f>250/7.5345</f>
        <v>33.180702103656515</v>
      </c>
      <c r="N420" s="138">
        <v>0</v>
      </c>
      <c r="O420" s="131">
        <f t="shared" si="311"/>
        <v>0</v>
      </c>
      <c r="P420" s="139">
        <v>4000</v>
      </c>
      <c r="Q420" s="417">
        <v>2000</v>
      </c>
      <c r="R420" s="137">
        <v>688</v>
      </c>
      <c r="S420" s="165" t="e">
        <f ca="1">__xlfn.XLOOKUP(H420,[1]Izvršenje_proračuna_po_pozicija!$B$2:$B$153,[1]Izvršenje_proračuna_po_pozicija!$E$2:$E$153,0)</f>
        <v>#NAME?</v>
      </c>
      <c r="T420" s="165"/>
      <c r="U420" s="165"/>
      <c r="V420" s="200">
        <v>4000</v>
      </c>
      <c r="W420" s="200">
        <v>4000</v>
      </c>
      <c r="X420" s="166">
        <v>5000</v>
      </c>
      <c r="Y420" s="425">
        <v>6000</v>
      </c>
      <c r="Z420" s="425"/>
      <c r="AA420" s="370" t="e">
        <f t="shared" ca="1" si="313"/>
        <v>#NAME?</v>
      </c>
      <c r="AB420" s="184"/>
      <c r="AC420" s="185">
        <v>4000</v>
      </c>
      <c r="AD420" s="185">
        <v>4000</v>
      </c>
      <c r="AE420" s="178"/>
      <c r="AF420" s="178"/>
      <c r="AG420" s="178">
        <f>Q420/P420*100</f>
        <v>50</v>
      </c>
      <c r="AH420" s="178">
        <f>AC420/Q420*100</f>
        <v>200</v>
      </c>
      <c r="AI420" s="184"/>
      <c r="AJ420" s="425">
        <v>6000</v>
      </c>
      <c r="AK420" s="171">
        <f t="shared" si="305"/>
        <v>581.39534883720921</v>
      </c>
      <c r="AL420" s="171">
        <f t="shared" si="306"/>
        <v>125</v>
      </c>
      <c r="AM420" s="171">
        <f t="shared" si="306"/>
        <v>120</v>
      </c>
      <c r="AN420" s="139"/>
      <c r="AO420" s="193"/>
      <c r="AP420" s="193" t="e">
        <f t="shared" ca="1" si="312"/>
        <v>#NAME?</v>
      </c>
      <c r="AQ420" s="200"/>
      <c r="AR420" s="204">
        <f>V420/R420*100</f>
        <v>581.39534883720921</v>
      </c>
      <c r="AS420" s="204">
        <f t="shared" si="314"/>
        <v>100</v>
      </c>
      <c r="AT420" s="204">
        <f>W420/R420*100</f>
        <v>581.39534883720921</v>
      </c>
      <c r="AU420" s="204">
        <f t="shared" si="315"/>
        <v>0</v>
      </c>
      <c r="AV420" s="204">
        <f>AQ420/R420*100</f>
        <v>0</v>
      </c>
    </row>
    <row r="421" spans="1:48" ht="12" customHeight="1">
      <c r="A421" s="305"/>
      <c r="B421" s="305"/>
      <c r="C421" s="305"/>
      <c r="D421" s="305"/>
      <c r="E421" s="305"/>
      <c r="F421" s="305"/>
      <c r="G421" s="305"/>
      <c r="H421" s="395"/>
      <c r="I421" s="406"/>
      <c r="J421" s="5"/>
      <c r="K421" s="407"/>
      <c r="L421" s="408"/>
      <c r="M421" s="408"/>
      <c r="N421" s="409"/>
      <c r="O421" s="409"/>
      <c r="P421" s="410"/>
      <c r="Q421" s="410"/>
      <c r="R421" s="418"/>
      <c r="S421" s="165" t="e">
        <f ca="1">__xlfn.XLOOKUP(H421,[1]Izvršenje_proračuna_po_pozicija!$B$2:$B$153,[1]Izvršenje_proračuna_po_pozicija!$E$2:$E$153,0)</f>
        <v>#NAME?</v>
      </c>
      <c r="T421" s="419"/>
      <c r="U421" s="419"/>
      <c r="V421" s="200"/>
      <c r="W421" s="200"/>
      <c r="X421" s="420"/>
      <c r="Y421" s="426"/>
      <c r="Z421" s="426"/>
      <c r="AA421" s="370" t="e">
        <f t="shared" ca="1" si="313"/>
        <v>#NAME?</v>
      </c>
      <c r="AB421" s="427"/>
      <c r="AC421" s="428"/>
      <c r="AD421" s="428"/>
      <c r="AE421" s="178"/>
      <c r="AF421" s="178"/>
      <c r="AG421" s="178"/>
      <c r="AH421" s="178"/>
      <c r="AI421" s="427"/>
      <c r="AJ421" s="426"/>
      <c r="AK421" s="171"/>
      <c r="AL421" s="171"/>
      <c r="AM421" s="171"/>
      <c r="AN421" s="432"/>
      <c r="AO421" s="193"/>
      <c r="AP421" s="193" t="e">
        <f t="shared" ca="1" si="312"/>
        <v>#NAME?</v>
      </c>
      <c r="AQ421" s="200"/>
      <c r="AR421" s="204"/>
      <c r="AS421" s="204"/>
      <c r="AT421" s="204"/>
      <c r="AU421" s="204"/>
      <c r="AV421" s="204"/>
    </row>
    <row r="422" spans="1:48" ht="12" customHeight="1">
      <c r="A422" s="62"/>
      <c r="B422" s="62"/>
      <c r="C422" s="62"/>
      <c r="D422" s="62"/>
      <c r="E422" s="62"/>
      <c r="F422" s="62"/>
      <c r="G422" s="62"/>
      <c r="H422" s="388"/>
      <c r="I422" s="398"/>
      <c r="J422" s="399">
        <v>329</v>
      </c>
      <c r="K422" s="400" t="s">
        <v>378</v>
      </c>
      <c r="L422" s="335">
        <f t="shared" ref="L422:S422" si="316">L423+L424+L425+L426+L427+L428+L429+L430+L431+L432+L433+L434+L435+L436+L437+L438+L440+L441</f>
        <v>730003</v>
      </c>
      <c r="M422" s="335">
        <f t="shared" si="316"/>
        <v>96888.048311102248</v>
      </c>
      <c r="N422" s="336">
        <f t="shared" si="316"/>
        <v>610973</v>
      </c>
      <c r="O422" s="336">
        <f t="shared" si="316"/>
        <v>81090.052425509319</v>
      </c>
      <c r="P422" s="337">
        <f t="shared" si="316"/>
        <v>111600</v>
      </c>
      <c r="Q422" s="337">
        <f t="shared" si="316"/>
        <v>119000</v>
      </c>
      <c r="R422" s="359">
        <f t="shared" si="316"/>
        <v>112111</v>
      </c>
      <c r="S422" s="360" t="e">
        <f t="shared" ca="1" si="316"/>
        <v>#NAME?</v>
      </c>
      <c r="T422" s="360"/>
      <c r="U422" s="360"/>
      <c r="V422" s="200">
        <f>V423+V424+V425+V426+V427+V428+V429+V430+V431+V432+V433+V434+V435+V436+V437+V438+V440+V441</f>
        <v>149500</v>
      </c>
      <c r="W422" s="200">
        <f>W423+W424+W425+W426+W427+W428+W429+W430+W431+W432+W433+W434+W435+W436+W437+W438+W440+W441</f>
        <v>149500</v>
      </c>
      <c r="X422" s="359">
        <f>X423+X424+X425+X426+X427+X428+X429+X430+X431+X432+X433+X434+X435+X436+X437+X438+X440+X441</f>
        <v>270000</v>
      </c>
      <c r="Y422" s="371">
        <f>Y423+Y424+Y425+Y426+Y427+Y428+Y429+Y430+Y431+Y432+Y433+Y434+Y435+Y436+Y437+Y438+Y440+Y441</f>
        <v>228500</v>
      </c>
      <c r="Z422" s="371">
        <f>Z423+Z424+Z425+Z426+Z427+Z428+Z429+Z430+Z431+Z432+Z433+Z434+Z435+Z436+Z437+Z438+Z440+Z441</f>
        <v>0</v>
      </c>
      <c r="AA422" s="370" t="e">
        <f t="shared" ca="1" si="313"/>
        <v>#NAME?</v>
      </c>
      <c r="AB422" s="371"/>
      <c r="AC422" s="371">
        <f>AC423+AC424+AC425+AC426+AC427+AC428+AC429+AC430+AC431+AC432+AC433+AC434+AC435+AC436+AC437+AC438+AC440+AC441</f>
        <v>122800</v>
      </c>
      <c r="AD422" s="371">
        <f>AD423+AD424+AD425+AD426+AD427+AD428+AD429+AD430+AD431+AD432+AD433+AD434+AD435+AD436+AD437+AD438+AD440+AD441</f>
        <v>122800</v>
      </c>
      <c r="AE422" s="178">
        <f>O422/M422*100</f>
        <v>83.694587556489495</v>
      </c>
      <c r="AF422" s="178">
        <f t="shared" ref="AF422:AG424" si="317">P422/O422*100</f>
        <v>137.62477228944653</v>
      </c>
      <c r="AG422" s="178">
        <f t="shared" si="317"/>
        <v>106.63082437275986</v>
      </c>
      <c r="AH422" s="178">
        <f>AC422/Q422*100</f>
        <v>103.19327731092439</v>
      </c>
      <c r="AI422" s="371"/>
      <c r="AJ422" s="371">
        <v>228500</v>
      </c>
      <c r="AK422" s="171">
        <f t="shared" si="305"/>
        <v>133.34998349849704</v>
      </c>
      <c r="AL422" s="171">
        <f t="shared" si="306"/>
        <v>180.6020066889632</v>
      </c>
      <c r="AM422" s="171">
        <f t="shared" si="306"/>
        <v>84.629629629629633</v>
      </c>
      <c r="AN422" s="360"/>
      <c r="AO422" s="193"/>
      <c r="AP422" s="193" t="e">
        <f t="shared" ca="1" si="312"/>
        <v>#NAME?</v>
      </c>
      <c r="AQ422" s="200">
        <f>AQ423+AQ424+AQ425+AQ426+AQ427+AQ428+AQ429+AQ430+AQ431+AQ432+AQ433+AQ434+AQ435+AQ436+AQ437+AQ438+AQ440+AQ441</f>
        <v>141224.70000000001</v>
      </c>
      <c r="AR422" s="204">
        <f t="shared" ref="AR422:AR428" si="318">V422/R422*100</f>
        <v>133.34998349849704</v>
      </c>
      <c r="AS422" s="204">
        <f t="shared" si="314"/>
        <v>100</v>
      </c>
      <c r="AT422" s="204">
        <f t="shared" ref="AT422:AT428" si="319">W422/R422*100</f>
        <v>133.34998349849704</v>
      </c>
      <c r="AU422" s="204">
        <f t="shared" si="315"/>
        <v>94.464682274247508</v>
      </c>
      <c r="AV422" s="204">
        <f t="shared" ref="AV422:AV428" si="320">AQ422/R422*100</f>
        <v>125.96863822461668</v>
      </c>
    </row>
    <row r="423" spans="1:48" ht="12" customHeight="1">
      <c r="A423" s="53"/>
      <c r="B423" s="53"/>
      <c r="C423" s="53"/>
      <c r="D423" s="53"/>
      <c r="E423" s="53"/>
      <c r="F423" s="53"/>
      <c r="G423" s="53"/>
      <c r="H423" s="16">
        <v>22</v>
      </c>
      <c r="I423" s="411">
        <v>133</v>
      </c>
      <c r="J423" s="407">
        <v>3291</v>
      </c>
      <c r="K423" s="412" t="s">
        <v>379</v>
      </c>
      <c r="L423" s="413">
        <v>100854</v>
      </c>
      <c r="M423" s="413">
        <f>100854/7.5345</f>
        <v>13385.626119848695</v>
      </c>
      <c r="N423" s="414">
        <v>51825</v>
      </c>
      <c r="O423" s="414">
        <f>N423/7.5345</f>
        <v>6878.3595460879951</v>
      </c>
      <c r="P423" s="415">
        <v>13000</v>
      </c>
      <c r="Q423" s="415">
        <v>13000</v>
      </c>
      <c r="R423" s="421">
        <v>12655</v>
      </c>
      <c r="S423" s="165">
        <v>1149.75</v>
      </c>
      <c r="T423" s="419"/>
      <c r="U423" s="419"/>
      <c r="V423" s="200">
        <v>10000</v>
      </c>
      <c r="W423" s="200">
        <v>10000</v>
      </c>
      <c r="X423" s="422">
        <v>12000</v>
      </c>
      <c r="Y423" s="429">
        <v>13000</v>
      </c>
      <c r="Z423" s="429"/>
      <c r="AA423" s="370" t="e">
        <f t="shared" ca="1" si="313"/>
        <v>#NAME?</v>
      </c>
      <c r="AB423" s="430"/>
      <c r="AC423" s="431">
        <v>13000</v>
      </c>
      <c r="AD423" s="431">
        <v>13000</v>
      </c>
      <c r="AE423" s="178">
        <f>O423/M423*100</f>
        <v>51.386162175025284</v>
      </c>
      <c r="AF423" s="178">
        <f t="shared" si="317"/>
        <v>188.99855282199712</v>
      </c>
      <c r="AG423" s="178">
        <f t="shared" si="317"/>
        <v>100</v>
      </c>
      <c r="AH423" s="178">
        <f>AC423/Q423*100</f>
        <v>100</v>
      </c>
      <c r="AI423" s="430"/>
      <c r="AJ423" s="429">
        <v>13000</v>
      </c>
      <c r="AK423" s="171">
        <f t="shared" si="305"/>
        <v>79.02015013828526</v>
      </c>
      <c r="AL423" s="171">
        <f t="shared" si="306"/>
        <v>120</v>
      </c>
      <c r="AM423" s="171">
        <f t="shared" si="306"/>
        <v>108.33333333333333</v>
      </c>
      <c r="AN423" s="419"/>
      <c r="AO423" s="193"/>
      <c r="AP423" s="193" t="e">
        <f t="shared" ca="1" si="312"/>
        <v>#NAME?</v>
      </c>
      <c r="AQ423" s="200">
        <v>12042.89</v>
      </c>
      <c r="AR423" s="204">
        <f t="shared" si="318"/>
        <v>79.02015013828526</v>
      </c>
      <c r="AS423" s="204">
        <f t="shared" si="314"/>
        <v>100</v>
      </c>
      <c r="AT423" s="204">
        <f t="shared" si="319"/>
        <v>79.02015013828526</v>
      </c>
      <c r="AU423" s="204">
        <f t="shared" si="315"/>
        <v>120.4289</v>
      </c>
      <c r="AV423" s="204">
        <f t="shared" si="320"/>
        <v>95.16309758988541</v>
      </c>
    </row>
    <row r="424" spans="1:48" ht="12" customHeight="1">
      <c r="A424" s="53"/>
      <c r="B424" s="53"/>
      <c r="C424" s="53"/>
      <c r="D424" s="53"/>
      <c r="E424" s="53"/>
      <c r="F424" s="53"/>
      <c r="G424" s="53"/>
      <c r="H424" s="1">
        <v>122</v>
      </c>
      <c r="I424" s="345">
        <v>133</v>
      </c>
      <c r="J424" s="229">
        <v>3292</v>
      </c>
      <c r="K424" s="229" t="s">
        <v>259</v>
      </c>
      <c r="L424" s="130">
        <v>37229</v>
      </c>
      <c r="M424" s="130">
        <f>37229/7.5345</f>
        <v>4941.1374344681135</v>
      </c>
      <c r="N424" s="131">
        <v>33163</v>
      </c>
      <c r="O424" s="414">
        <f t="shared" ref="O424:O438" si="321">N424/7.5345</f>
        <v>4401.4864954542436</v>
      </c>
      <c r="P424" s="132">
        <v>5500</v>
      </c>
      <c r="Q424" s="132">
        <v>5500</v>
      </c>
      <c r="R424" s="159">
        <v>2596</v>
      </c>
      <c r="S424" s="165">
        <v>4509</v>
      </c>
      <c r="T424" s="165"/>
      <c r="U424" s="165"/>
      <c r="V424" s="200">
        <v>5500</v>
      </c>
      <c r="W424" s="200">
        <v>5500</v>
      </c>
      <c r="X424" s="164">
        <v>6000</v>
      </c>
      <c r="Y424" s="378">
        <v>7000</v>
      </c>
      <c r="Z424" s="378"/>
      <c r="AA424" s="370" t="e">
        <f t="shared" ca="1" si="313"/>
        <v>#NAME?</v>
      </c>
      <c r="AB424" s="183"/>
      <c r="AC424" s="178">
        <v>5500</v>
      </c>
      <c r="AD424" s="178">
        <v>5500</v>
      </c>
      <c r="AE424" s="178">
        <f>O424/M424*100</f>
        <v>89.078406618496331</v>
      </c>
      <c r="AF424" s="178">
        <f t="shared" si="317"/>
        <v>124.95778427765885</v>
      </c>
      <c r="AG424" s="178">
        <f t="shared" si="317"/>
        <v>100</v>
      </c>
      <c r="AH424" s="178">
        <f>AC424/Q424*100</f>
        <v>100</v>
      </c>
      <c r="AI424" s="183"/>
      <c r="AJ424" s="378">
        <v>7000</v>
      </c>
      <c r="AK424" s="171">
        <f t="shared" si="305"/>
        <v>211.86440677966104</v>
      </c>
      <c r="AL424" s="171">
        <f t="shared" si="306"/>
        <v>109.09090909090908</v>
      </c>
      <c r="AM424" s="171">
        <f t="shared" si="306"/>
        <v>116.66666666666667</v>
      </c>
      <c r="AN424" s="165"/>
      <c r="AO424" s="193"/>
      <c r="AP424" s="193" t="e">
        <f t="shared" ca="1" si="312"/>
        <v>#NAME?</v>
      </c>
      <c r="AQ424" s="200">
        <v>4509.63</v>
      </c>
      <c r="AR424" s="204">
        <f t="shared" si="318"/>
        <v>211.86440677966104</v>
      </c>
      <c r="AS424" s="204">
        <f t="shared" si="314"/>
        <v>100</v>
      </c>
      <c r="AT424" s="204">
        <f t="shared" si="319"/>
        <v>211.86440677966104</v>
      </c>
      <c r="AU424" s="204">
        <f t="shared" si="315"/>
        <v>81.993272727272725</v>
      </c>
      <c r="AV424" s="204">
        <f t="shared" si="320"/>
        <v>173.71456086286594</v>
      </c>
    </row>
    <row r="425" spans="1:48" ht="12" customHeight="1">
      <c r="A425" s="53"/>
      <c r="B425" s="53"/>
      <c r="C425" s="53"/>
      <c r="D425" s="53"/>
      <c r="E425" s="53"/>
      <c r="F425" s="53"/>
      <c r="G425" s="53"/>
      <c r="H425" s="1" t="s">
        <v>380</v>
      </c>
      <c r="I425" s="345">
        <v>133</v>
      </c>
      <c r="J425" s="229">
        <v>3294</v>
      </c>
      <c r="K425" s="229" t="s">
        <v>261</v>
      </c>
      <c r="L425" s="130">
        <v>10555</v>
      </c>
      <c r="M425" s="130">
        <f>10555/7.5345</f>
        <v>1400.8892428163779</v>
      </c>
      <c r="N425" s="131">
        <v>555</v>
      </c>
      <c r="O425" s="414">
        <f t="shared" si="321"/>
        <v>73.661158670117459</v>
      </c>
      <c r="P425" s="132">
        <v>1500</v>
      </c>
      <c r="Q425" s="132">
        <v>1500</v>
      </c>
      <c r="R425" s="159">
        <v>43</v>
      </c>
      <c r="S425" s="165" t="e">
        <f ca="1">__xlfn.XLOOKUP(H425,[1]Izvršenje_proračuna_po_pozicija!$B$2:$B$153,[1]Izvršenje_proračuna_po_pozicija!$E$2:$E$153,0)</f>
        <v>#NAME?</v>
      </c>
      <c r="T425" s="165"/>
      <c r="U425" s="165"/>
      <c r="V425" s="200">
        <v>1500</v>
      </c>
      <c r="W425" s="200">
        <v>1500</v>
      </c>
      <c r="X425" s="164">
        <v>1500</v>
      </c>
      <c r="Y425" s="378">
        <v>2000</v>
      </c>
      <c r="Z425" s="378"/>
      <c r="AA425" s="370" t="e">
        <f t="shared" ca="1" si="313"/>
        <v>#NAME?</v>
      </c>
      <c r="AB425" s="183"/>
      <c r="AC425" s="178">
        <v>1500</v>
      </c>
      <c r="AD425" s="178">
        <v>1500</v>
      </c>
      <c r="AE425" s="178">
        <f>O425/M425*100</f>
        <v>5.2581714827096162</v>
      </c>
      <c r="AF425" s="178"/>
      <c r="AG425" s="178">
        <f>Q425/P425*100</f>
        <v>100</v>
      </c>
      <c r="AH425" s="178">
        <f>AC425/Q425*100</f>
        <v>100</v>
      </c>
      <c r="AI425" s="183"/>
      <c r="AJ425" s="378">
        <v>2000</v>
      </c>
      <c r="AK425" s="171">
        <f t="shared" si="305"/>
        <v>3488.3720930232557</v>
      </c>
      <c r="AL425" s="171">
        <f t="shared" si="306"/>
        <v>100</v>
      </c>
      <c r="AM425" s="171">
        <f t="shared" si="306"/>
        <v>133.33333333333331</v>
      </c>
      <c r="AN425" s="165"/>
      <c r="AO425" s="193"/>
      <c r="AP425" s="193" t="e">
        <f t="shared" ca="1" si="312"/>
        <v>#NAME?</v>
      </c>
      <c r="AQ425" s="200">
        <v>1327.24</v>
      </c>
      <c r="AR425" s="204">
        <f t="shared" si="318"/>
        <v>3488.3720930232557</v>
      </c>
      <c r="AS425" s="204">
        <f t="shared" si="314"/>
        <v>100</v>
      </c>
      <c r="AT425" s="204">
        <f t="shared" si="319"/>
        <v>3488.3720930232557</v>
      </c>
      <c r="AU425" s="204">
        <f t="shared" si="315"/>
        <v>88.48266666666666</v>
      </c>
      <c r="AV425" s="204">
        <f t="shared" si="320"/>
        <v>3086.6046511627906</v>
      </c>
    </row>
    <row r="426" spans="1:48" ht="12" customHeight="1">
      <c r="A426" s="53"/>
      <c r="B426" s="53"/>
      <c r="C426" s="53"/>
      <c r="D426" s="53"/>
      <c r="E426" s="53"/>
      <c r="F426" s="53"/>
      <c r="G426" s="53"/>
      <c r="H426" s="1" t="s">
        <v>381</v>
      </c>
      <c r="I426" s="345">
        <v>133</v>
      </c>
      <c r="J426" s="229">
        <v>3294</v>
      </c>
      <c r="K426" s="229" t="s">
        <v>382</v>
      </c>
      <c r="L426" s="130">
        <v>23283</v>
      </c>
      <c r="M426" s="130">
        <f>23283/7.5345</f>
        <v>3090.1851483177384</v>
      </c>
      <c r="N426" s="131">
        <v>53730</v>
      </c>
      <c r="O426" s="414">
        <f t="shared" si="321"/>
        <v>7131.1964961178574</v>
      </c>
      <c r="P426" s="132">
        <v>4800</v>
      </c>
      <c r="Q426" s="163">
        <v>14000</v>
      </c>
      <c r="R426" s="159">
        <v>14004</v>
      </c>
      <c r="S426" s="165" t="e">
        <f ca="1">__xlfn.XLOOKUP(H426,[1]Izvršenje_proračuna_po_pozicija!$B$2:$B$153,[1]Izvršenje_proračuna_po_pozicija!$E$2:$E$153,0)</f>
        <v>#NAME?</v>
      </c>
      <c r="T426" s="165"/>
      <c r="U426" s="165"/>
      <c r="V426" s="200">
        <v>14000</v>
      </c>
      <c r="W426" s="200">
        <v>14000</v>
      </c>
      <c r="X426" s="164">
        <v>14000</v>
      </c>
      <c r="Y426" s="378">
        <v>15000</v>
      </c>
      <c r="Z426" s="378"/>
      <c r="AA426" s="370" t="e">
        <f t="shared" ca="1" si="313"/>
        <v>#NAME?</v>
      </c>
      <c r="AB426" s="183"/>
      <c r="AC426" s="178">
        <v>4800</v>
      </c>
      <c r="AD426" s="178">
        <v>4800</v>
      </c>
      <c r="AE426" s="178">
        <f>O426/M426*100</f>
        <v>230.76923076923075</v>
      </c>
      <c r="AF426" s="178">
        <f>P426/O426*100</f>
        <v>67.309882747068684</v>
      </c>
      <c r="AG426" s="178">
        <f>Q426/P426*100</f>
        <v>291.66666666666663</v>
      </c>
      <c r="AH426" s="178">
        <f>AC426/Q426*100</f>
        <v>34.285714285714285</v>
      </c>
      <c r="AI426" s="183"/>
      <c r="AJ426" s="378">
        <v>15000</v>
      </c>
      <c r="AK426" s="171">
        <f t="shared" si="305"/>
        <v>99.971436732362179</v>
      </c>
      <c r="AL426" s="171">
        <f t="shared" si="306"/>
        <v>100</v>
      </c>
      <c r="AM426" s="171">
        <f t="shared" si="306"/>
        <v>107.14285714285714</v>
      </c>
      <c r="AN426" s="165"/>
      <c r="AO426" s="193"/>
      <c r="AP426" s="193" t="e">
        <f t="shared" ca="1" si="312"/>
        <v>#NAME?</v>
      </c>
      <c r="AQ426" s="200">
        <v>7002</v>
      </c>
      <c r="AR426" s="204">
        <f t="shared" si="318"/>
        <v>99.971436732362179</v>
      </c>
      <c r="AS426" s="204">
        <f t="shared" si="314"/>
        <v>100</v>
      </c>
      <c r="AT426" s="204">
        <f t="shared" si="319"/>
        <v>99.971436732362179</v>
      </c>
      <c r="AU426" s="204">
        <f t="shared" si="315"/>
        <v>50.014285714285712</v>
      </c>
      <c r="AV426" s="204">
        <f t="shared" si="320"/>
        <v>50</v>
      </c>
    </row>
    <row r="427" spans="1:48" ht="12" customHeight="1">
      <c r="A427" s="53"/>
      <c r="B427" s="53"/>
      <c r="C427" s="53"/>
      <c r="D427" s="53"/>
      <c r="E427" s="53"/>
      <c r="F427" s="53"/>
      <c r="G427" s="53"/>
      <c r="H427" s="1" t="s">
        <v>383</v>
      </c>
      <c r="I427" s="345">
        <v>133</v>
      </c>
      <c r="J427" s="229">
        <v>3295</v>
      </c>
      <c r="K427" s="229" t="s">
        <v>262</v>
      </c>
      <c r="L427" s="130">
        <v>2400</v>
      </c>
      <c r="M427" s="130">
        <f>2400/7.5345</f>
        <v>318.53474019510253</v>
      </c>
      <c r="N427" s="131">
        <v>1200</v>
      </c>
      <c r="O427" s="414">
        <f t="shared" si="321"/>
        <v>159.26737009755126</v>
      </c>
      <c r="P427" s="132">
        <v>4000</v>
      </c>
      <c r="Q427" s="163">
        <v>1000</v>
      </c>
      <c r="R427" s="159">
        <v>2254</v>
      </c>
      <c r="S427" s="165" t="e">
        <f ca="1">__xlfn.XLOOKUP(H427,[1]Izvršenje_proračuna_po_pozicija!$B$2:$B$153,[1]Izvršenje_proračuna_po_pozicija!$E$2:$E$153,0)</f>
        <v>#NAME?</v>
      </c>
      <c r="T427" s="165"/>
      <c r="U427" s="165"/>
      <c r="V427" s="200">
        <v>1000</v>
      </c>
      <c r="W427" s="200">
        <v>1000</v>
      </c>
      <c r="X427" s="164">
        <v>1000</v>
      </c>
      <c r="Y427" s="378">
        <v>1500</v>
      </c>
      <c r="Z427" s="378"/>
      <c r="AA427" s="370" t="e">
        <f t="shared" ca="1" si="313"/>
        <v>#NAME?</v>
      </c>
      <c r="AB427" s="183"/>
      <c r="AC427" s="178">
        <v>4000</v>
      </c>
      <c r="AD427" s="178">
        <v>4000</v>
      </c>
      <c r="AE427" s="178"/>
      <c r="AF427" s="178"/>
      <c r="AG427" s="178"/>
      <c r="AH427" s="178"/>
      <c r="AI427" s="183"/>
      <c r="AJ427" s="378">
        <v>1500</v>
      </c>
      <c r="AK427" s="171">
        <f t="shared" si="305"/>
        <v>44.365572315882872</v>
      </c>
      <c r="AL427" s="171">
        <f t="shared" si="306"/>
        <v>100</v>
      </c>
      <c r="AM427" s="171">
        <f t="shared" si="306"/>
        <v>150</v>
      </c>
      <c r="AN427" s="165"/>
      <c r="AO427" s="193"/>
      <c r="AP427" s="193" t="e">
        <f t="shared" ca="1" si="312"/>
        <v>#NAME?</v>
      </c>
      <c r="AQ427" s="200">
        <v>434.65</v>
      </c>
      <c r="AR427" s="204">
        <f t="shared" si="318"/>
        <v>44.365572315882872</v>
      </c>
      <c r="AS427" s="204">
        <f t="shared" si="314"/>
        <v>100</v>
      </c>
      <c r="AT427" s="204">
        <f t="shared" si="319"/>
        <v>44.365572315882872</v>
      </c>
      <c r="AU427" s="204">
        <f t="shared" si="315"/>
        <v>43.464999999999996</v>
      </c>
      <c r="AV427" s="204">
        <f t="shared" si="320"/>
        <v>19.283496007098492</v>
      </c>
    </row>
    <row r="428" spans="1:48" ht="12" customHeight="1">
      <c r="A428" s="53"/>
      <c r="B428" s="53"/>
      <c r="C428" s="53"/>
      <c r="D428" s="53"/>
      <c r="E428" s="53"/>
      <c r="F428" s="53"/>
      <c r="G428" s="53"/>
      <c r="H428" s="1" t="s">
        <v>384</v>
      </c>
      <c r="I428" s="345">
        <v>133</v>
      </c>
      <c r="J428" s="229">
        <v>3296</v>
      </c>
      <c r="K428" s="229" t="s">
        <v>385</v>
      </c>
      <c r="L428" s="130">
        <v>29746</v>
      </c>
      <c r="M428" s="130">
        <f>29746/7.5345</f>
        <v>3947.9726591014664</v>
      </c>
      <c r="N428" s="131">
        <v>26461</v>
      </c>
      <c r="O428" s="414">
        <f t="shared" si="321"/>
        <v>3511.9782334594197</v>
      </c>
      <c r="P428" s="132">
        <v>4000</v>
      </c>
      <c r="Q428" s="163">
        <v>1000</v>
      </c>
      <c r="R428" s="159">
        <v>298</v>
      </c>
      <c r="S428" s="165" t="e">
        <f ca="1">__xlfn.XLOOKUP(H428,[1]Izvršenje_proračuna_po_pozicija!$B$2:$B$153,[1]Izvršenje_proračuna_po_pozicija!$E$2:$E$153,0)</f>
        <v>#NAME?</v>
      </c>
      <c r="T428" s="165"/>
      <c r="U428" s="165"/>
      <c r="V428" s="200">
        <v>4000</v>
      </c>
      <c r="W428" s="200">
        <v>4000</v>
      </c>
      <c r="X428" s="164">
        <v>4000</v>
      </c>
      <c r="Y428" s="378">
        <v>5000</v>
      </c>
      <c r="Z428" s="378"/>
      <c r="AA428" s="370" t="e">
        <f t="shared" ca="1" si="313"/>
        <v>#NAME?</v>
      </c>
      <c r="AB428" s="183"/>
      <c r="AC428" s="178">
        <v>4000</v>
      </c>
      <c r="AD428" s="178">
        <v>4000</v>
      </c>
      <c r="AE428" s="178">
        <f>O428/M428*100</f>
        <v>88.956498352719692</v>
      </c>
      <c r="AF428" s="178">
        <f>P428/O428*100</f>
        <v>113.8959223007445</v>
      </c>
      <c r="AG428" s="178">
        <f>Q428/P428*100</f>
        <v>25</v>
      </c>
      <c r="AH428" s="178">
        <f>AC428/Q428*100</f>
        <v>400</v>
      </c>
      <c r="AI428" s="183"/>
      <c r="AJ428" s="378">
        <v>5000</v>
      </c>
      <c r="AK428" s="171">
        <f t="shared" si="305"/>
        <v>1342.2818791946308</v>
      </c>
      <c r="AL428" s="171">
        <f t="shared" si="306"/>
        <v>100</v>
      </c>
      <c r="AM428" s="171">
        <f t="shared" si="306"/>
        <v>125</v>
      </c>
      <c r="AN428" s="165"/>
      <c r="AO428" s="193"/>
      <c r="AP428" s="193" t="e">
        <f t="shared" ca="1" si="312"/>
        <v>#NAME?</v>
      </c>
      <c r="AQ428" s="200">
        <v>33.18</v>
      </c>
      <c r="AR428" s="204">
        <f t="shared" si="318"/>
        <v>1342.2818791946308</v>
      </c>
      <c r="AS428" s="204">
        <f t="shared" si="314"/>
        <v>100</v>
      </c>
      <c r="AT428" s="204">
        <f t="shared" si="319"/>
        <v>1342.2818791946308</v>
      </c>
      <c r="AU428" s="204">
        <f t="shared" si="315"/>
        <v>0.82950000000000002</v>
      </c>
      <c r="AV428" s="204">
        <f t="shared" si="320"/>
        <v>11.134228187919463</v>
      </c>
    </row>
    <row r="429" spans="1:48" ht="12" customHeight="1">
      <c r="A429" s="53"/>
      <c r="B429" s="53"/>
      <c r="C429" s="53"/>
      <c r="D429" s="53"/>
      <c r="E429" s="53"/>
      <c r="F429" s="53"/>
      <c r="G429" s="53"/>
      <c r="H429" s="1">
        <v>123</v>
      </c>
      <c r="I429" s="345">
        <v>133</v>
      </c>
      <c r="J429" s="229">
        <v>3299</v>
      </c>
      <c r="K429" s="229" t="s">
        <v>386</v>
      </c>
      <c r="L429" s="130">
        <v>192772</v>
      </c>
      <c r="M429" s="130">
        <f>192772/7.5345</f>
        <v>25585.241223704292</v>
      </c>
      <c r="N429" s="131">
        <v>14394</v>
      </c>
      <c r="O429" s="414">
        <f t="shared" si="321"/>
        <v>1910.4121043201274</v>
      </c>
      <c r="P429" s="132">
        <v>0</v>
      </c>
      <c r="Q429" s="132">
        <v>0</v>
      </c>
      <c r="R429" s="159">
        <v>0</v>
      </c>
      <c r="S429" s="165" t="e">
        <f ca="1">__xlfn.XLOOKUP(H429,[1]Izvršenje_proračuna_po_pozicija!$B$2:$B$153,[1]Izvršenje_proračuna_po_pozicija!$E$2:$E$153,0)</f>
        <v>#NAME?</v>
      </c>
      <c r="T429" s="165"/>
      <c r="U429" s="165"/>
      <c r="V429" s="200">
        <v>0</v>
      </c>
      <c r="W429" s="200">
        <v>0</v>
      </c>
      <c r="X429" s="164">
        <v>35000</v>
      </c>
      <c r="Y429" s="378"/>
      <c r="Z429" s="378"/>
      <c r="AA429" s="370" t="e">
        <f t="shared" ca="1" si="313"/>
        <v>#NAME?</v>
      </c>
      <c r="AB429" s="183"/>
      <c r="AC429" s="178">
        <v>10000</v>
      </c>
      <c r="AD429" s="178">
        <v>10000</v>
      </c>
      <c r="AE429" s="178">
        <f>O429/M429*100</f>
        <v>7.466852032452846</v>
      </c>
      <c r="AF429" s="178">
        <f>P429/O429*100</f>
        <v>0</v>
      </c>
      <c r="AG429" s="178"/>
      <c r="AH429" s="178"/>
      <c r="AI429" s="183"/>
      <c r="AJ429" s="378"/>
      <c r="AK429" s="171"/>
      <c r="AL429" s="171" t="e">
        <f t="shared" si="306"/>
        <v>#DIV/0!</v>
      </c>
      <c r="AM429" s="171"/>
      <c r="AN429" s="165"/>
      <c r="AO429" s="193"/>
      <c r="AP429" s="193" t="e">
        <f t="shared" ca="1" si="312"/>
        <v>#NAME?</v>
      </c>
      <c r="AQ429" s="200"/>
      <c r="AR429" s="204"/>
      <c r="AS429" s="204"/>
      <c r="AT429" s="204"/>
      <c r="AU429" s="204"/>
      <c r="AV429" s="204"/>
    </row>
    <row r="430" spans="1:48" ht="12" customHeight="1">
      <c r="A430" s="53"/>
      <c r="B430" s="53"/>
      <c r="C430" s="53"/>
      <c r="D430" s="53"/>
      <c r="E430" s="53"/>
      <c r="F430" s="53"/>
      <c r="G430" s="53"/>
      <c r="H430" s="1">
        <v>126</v>
      </c>
      <c r="I430" s="345">
        <v>133</v>
      </c>
      <c r="J430" s="229">
        <v>3299</v>
      </c>
      <c r="K430" s="18" t="s">
        <v>387</v>
      </c>
      <c r="L430" s="130">
        <v>76611</v>
      </c>
      <c r="M430" s="130">
        <f>76611/7.5345</f>
        <v>10168.027075452916</v>
      </c>
      <c r="N430" s="131">
        <v>89940</v>
      </c>
      <c r="O430" s="414">
        <f t="shared" si="321"/>
        <v>11937.089388811466</v>
      </c>
      <c r="P430" s="132">
        <v>12000</v>
      </c>
      <c r="Q430" s="163">
        <v>14000</v>
      </c>
      <c r="R430" s="159">
        <v>16288</v>
      </c>
      <c r="S430" s="165">
        <v>13163</v>
      </c>
      <c r="T430" s="165"/>
      <c r="U430" s="165"/>
      <c r="V430" s="200">
        <v>14000</v>
      </c>
      <c r="W430" s="200">
        <v>14000</v>
      </c>
      <c r="X430" s="164">
        <v>16000</v>
      </c>
      <c r="Y430" s="378">
        <v>17000</v>
      </c>
      <c r="Z430" s="378"/>
      <c r="AA430" s="370" t="e">
        <f t="shared" ca="1" si="313"/>
        <v>#NAME?</v>
      </c>
      <c r="AB430" s="183"/>
      <c r="AC430" s="178">
        <v>12000</v>
      </c>
      <c r="AD430" s="178">
        <v>12000</v>
      </c>
      <c r="AE430" s="178">
        <f>O430/M430*100</f>
        <v>117.39828484160238</v>
      </c>
      <c r="AF430" s="178">
        <f>P430/O430*100</f>
        <v>100.527018012008</v>
      </c>
      <c r="AG430" s="178">
        <f>Q430/P430*100</f>
        <v>116.66666666666667</v>
      </c>
      <c r="AH430" s="178">
        <f>AC430/Q430*100</f>
        <v>85.714285714285708</v>
      </c>
      <c r="AI430" s="183"/>
      <c r="AJ430" s="378">
        <v>17000</v>
      </c>
      <c r="AK430" s="171">
        <f t="shared" si="305"/>
        <v>85.952848722986246</v>
      </c>
      <c r="AL430" s="171">
        <f t="shared" si="306"/>
        <v>114.28571428571428</v>
      </c>
      <c r="AM430" s="171">
        <f t="shared" si="306"/>
        <v>106.25</v>
      </c>
      <c r="AN430" s="165"/>
      <c r="AO430" s="193"/>
      <c r="AP430" s="193" t="e">
        <f t="shared" ca="1" si="312"/>
        <v>#NAME?</v>
      </c>
      <c r="AQ430" s="200">
        <v>14130.64</v>
      </c>
      <c r="AR430" s="204">
        <f>V430/R430*100</f>
        <v>85.952848722986246</v>
      </c>
      <c r="AS430" s="204">
        <f t="shared" si="314"/>
        <v>100</v>
      </c>
      <c r="AT430" s="204">
        <f>W430/R430*100</f>
        <v>85.952848722986246</v>
      </c>
      <c r="AU430" s="204">
        <f t="shared" si="315"/>
        <v>100.93314285714285</v>
      </c>
      <c r="AV430" s="204">
        <f>AQ430/R430*100</f>
        <v>86.754911591355594</v>
      </c>
    </row>
    <row r="431" spans="1:48" ht="12" customHeight="1">
      <c r="A431" s="53"/>
      <c r="B431" s="53"/>
      <c r="C431" s="53"/>
      <c r="D431" s="53"/>
      <c r="E431" s="53"/>
      <c r="F431" s="53"/>
      <c r="G431" s="53"/>
      <c r="H431" s="1" t="s">
        <v>388</v>
      </c>
      <c r="I431" s="345">
        <v>133</v>
      </c>
      <c r="J431" s="229">
        <v>3299</v>
      </c>
      <c r="K431" s="18" t="s">
        <v>389</v>
      </c>
      <c r="L431" s="130">
        <v>4813</v>
      </c>
      <c r="M431" s="130">
        <f>4813/7.5345</f>
        <v>638.79487689959512</v>
      </c>
      <c r="N431" s="131">
        <v>1637</v>
      </c>
      <c r="O431" s="414">
        <f t="shared" si="321"/>
        <v>217.26723737474285</v>
      </c>
      <c r="P431" s="132">
        <v>1000</v>
      </c>
      <c r="Q431" s="132">
        <v>1000</v>
      </c>
      <c r="R431" s="159">
        <v>365</v>
      </c>
      <c r="S431" s="165" t="e">
        <f ca="1">__xlfn.XLOOKUP(H431,[1]Izvršenje_proračuna_po_pozicija!$B$2:$B$153,[1]Izvršenje_proračuna_po_pozicija!$E$2:$E$153,0)</f>
        <v>#NAME?</v>
      </c>
      <c r="T431" s="165"/>
      <c r="U431" s="165"/>
      <c r="V431" s="200">
        <v>1000</v>
      </c>
      <c r="W431" s="200">
        <v>1000</v>
      </c>
      <c r="X431" s="164">
        <v>1000</v>
      </c>
      <c r="Y431" s="378">
        <v>1000</v>
      </c>
      <c r="Z431" s="378"/>
      <c r="AA431" s="370" t="e">
        <f t="shared" ca="1" si="313"/>
        <v>#NAME?</v>
      </c>
      <c r="AB431" s="183"/>
      <c r="AC431" s="178">
        <v>1000</v>
      </c>
      <c r="AD431" s="178">
        <v>1000</v>
      </c>
      <c r="AE431" s="178">
        <f>O431/M431*100</f>
        <v>34.012050696031586</v>
      </c>
      <c r="AF431" s="178">
        <f>P431/O431*100</f>
        <v>460.26267562614544</v>
      </c>
      <c r="AG431" s="178">
        <f>Q431/P431*100</f>
        <v>100</v>
      </c>
      <c r="AH431" s="178">
        <f>AC431/Q431*100</f>
        <v>100</v>
      </c>
      <c r="AI431" s="183"/>
      <c r="AJ431" s="378">
        <v>1000</v>
      </c>
      <c r="AK431" s="171">
        <f t="shared" si="305"/>
        <v>273.97260273972603</v>
      </c>
      <c r="AL431" s="171">
        <f t="shared" si="306"/>
        <v>100</v>
      </c>
      <c r="AM431" s="171">
        <f t="shared" si="306"/>
        <v>100</v>
      </c>
      <c r="AN431" s="165"/>
      <c r="AO431" s="193"/>
      <c r="AP431" s="193" t="e">
        <f t="shared" ca="1" si="312"/>
        <v>#NAME?</v>
      </c>
      <c r="AQ431" s="200">
        <v>743.75</v>
      </c>
      <c r="AR431" s="204">
        <f>V431/R431*100</f>
        <v>273.97260273972603</v>
      </c>
      <c r="AS431" s="204">
        <f t="shared" si="314"/>
        <v>100</v>
      </c>
      <c r="AT431" s="204">
        <f>W431/R431*100</f>
        <v>273.97260273972603</v>
      </c>
      <c r="AU431" s="204">
        <f t="shared" si="315"/>
        <v>74.375</v>
      </c>
      <c r="AV431" s="204">
        <f>AQ431/R431*100</f>
        <v>203.76712328767121</v>
      </c>
    </row>
    <row r="432" spans="1:48" ht="12" customHeight="1">
      <c r="A432" s="53"/>
      <c r="B432" s="53"/>
      <c r="C432" s="53"/>
      <c r="D432" s="53"/>
      <c r="E432" s="53"/>
      <c r="F432" s="53"/>
      <c r="G432" s="53"/>
      <c r="H432" s="1" t="s">
        <v>390</v>
      </c>
      <c r="I432" s="345">
        <v>133</v>
      </c>
      <c r="J432" s="229">
        <v>3299</v>
      </c>
      <c r="K432" s="18" t="s">
        <v>391</v>
      </c>
      <c r="L432" s="130">
        <v>5761</v>
      </c>
      <c r="M432" s="130">
        <f>5761/7.5345</f>
        <v>764.61609927666063</v>
      </c>
      <c r="N432" s="131">
        <v>7979</v>
      </c>
      <c r="O432" s="414">
        <f t="shared" si="321"/>
        <v>1058.9952883403012</v>
      </c>
      <c r="P432" s="132">
        <v>1000</v>
      </c>
      <c r="Q432" s="163">
        <v>1500</v>
      </c>
      <c r="R432" s="159">
        <v>1500</v>
      </c>
      <c r="S432" s="165" t="e">
        <f ca="1">__xlfn.XLOOKUP(H432,[1]Izvršenje_proračuna_po_pozicija!$B$2:$B$153,[1]Izvršenje_proračuna_po_pozicija!$E$2:$E$153,0)</f>
        <v>#NAME?</v>
      </c>
      <c r="T432" s="165"/>
      <c r="U432" s="165"/>
      <c r="V432" s="200">
        <v>2000</v>
      </c>
      <c r="W432" s="200">
        <v>2000</v>
      </c>
      <c r="X432" s="164">
        <v>1500</v>
      </c>
      <c r="Y432" s="378">
        <v>2000</v>
      </c>
      <c r="Z432" s="378"/>
      <c r="AA432" s="370" t="e">
        <f t="shared" ca="1" si="313"/>
        <v>#NAME?</v>
      </c>
      <c r="AB432" s="183"/>
      <c r="AC432" s="178">
        <v>1000</v>
      </c>
      <c r="AD432" s="178">
        <v>1000</v>
      </c>
      <c r="AE432" s="178">
        <f>O432/M432*100</f>
        <v>138.50026037146327</v>
      </c>
      <c r="AF432" s="178">
        <f>P432/O432*100</f>
        <v>94.429126456949504</v>
      </c>
      <c r="AG432" s="178">
        <f>Q432/P432*100</f>
        <v>150</v>
      </c>
      <c r="AH432" s="178">
        <f>AC432/Q432*100</f>
        <v>66.666666666666657</v>
      </c>
      <c r="AI432" s="183"/>
      <c r="AJ432" s="378">
        <v>2000</v>
      </c>
      <c r="AK432" s="171">
        <f t="shared" si="305"/>
        <v>133.33333333333331</v>
      </c>
      <c r="AL432" s="171">
        <f t="shared" si="306"/>
        <v>75</v>
      </c>
      <c r="AM432" s="171">
        <f t="shared" si="306"/>
        <v>133.33333333333331</v>
      </c>
      <c r="AN432" s="165"/>
      <c r="AO432" s="193"/>
      <c r="AP432" s="193" t="e">
        <f t="shared" ca="1" si="312"/>
        <v>#NAME?</v>
      </c>
      <c r="AQ432" s="200"/>
      <c r="AR432" s="204">
        <f>V432/R432*100</f>
        <v>133.33333333333331</v>
      </c>
      <c r="AS432" s="204">
        <f t="shared" si="314"/>
        <v>100</v>
      </c>
      <c r="AT432" s="204">
        <f>W432/R432*100</f>
        <v>133.33333333333331</v>
      </c>
      <c r="AU432" s="204">
        <f t="shared" si="315"/>
        <v>0</v>
      </c>
      <c r="AV432" s="204">
        <f>AQ432/R432*100</f>
        <v>0</v>
      </c>
    </row>
    <row r="433" spans="1:48" ht="12" customHeight="1">
      <c r="A433" s="53"/>
      <c r="B433" s="53"/>
      <c r="C433" s="53"/>
      <c r="D433" s="53"/>
      <c r="E433" s="53"/>
      <c r="F433" s="53"/>
      <c r="G433" s="53"/>
      <c r="H433" s="1" t="s">
        <v>392</v>
      </c>
      <c r="I433" s="345">
        <v>133</v>
      </c>
      <c r="J433" s="229">
        <v>3299</v>
      </c>
      <c r="K433" s="18" t="s">
        <v>393</v>
      </c>
      <c r="L433" s="130">
        <v>734</v>
      </c>
      <c r="M433" s="130">
        <f>734/7.5345</f>
        <v>97.418541376335511</v>
      </c>
      <c r="N433" s="131">
        <v>33406</v>
      </c>
      <c r="O433" s="414">
        <f t="shared" si="321"/>
        <v>4433.7381378989976</v>
      </c>
      <c r="P433" s="132">
        <v>4000</v>
      </c>
      <c r="Q433" s="132">
        <v>4000</v>
      </c>
      <c r="R433" s="159">
        <v>2805</v>
      </c>
      <c r="S433" s="165" t="e">
        <f ca="1">__xlfn.XLOOKUP(H433,[1]Izvršenje_proračuna_po_pozicija!$B$2:$B$153,[1]Izvršenje_proračuna_po_pozicija!$E$2:$E$153,0)</f>
        <v>#NAME?</v>
      </c>
      <c r="T433" s="165"/>
      <c r="U433" s="165"/>
      <c r="V433" s="200">
        <v>3500</v>
      </c>
      <c r="W433" s="200">
        <v>3500</v>
      </c>
      <c r="X433" s="164">
        <v>4000</v>
      </c>
      <c r="Y433" s="378">
        <v>4000</v>
      </c>
      <c r="Z433" s="378"/>
      <c r="AA433" s="370" t="e">
        <f t="shared" ca="1" si="313"/>
        <v>#NAME?</v>
      </c>
      <c r="AB433" s="183"/>
      <c r="AC433" s="178">
        <v>4000</v>
      </c>
      <c r="AD433" s="178">
        <v>4000</v>
      </c>
      <c r="AE433" s="178"/>
      <c r="AF433" s="178"/>
      <c r="AG433" s="178"/>
      <c r="AH433" s="178"/>
      <c r="AI433" s="183"/>
      <c r="AJ433" s="378">
        <v>4000</v>
      </c>
      <c r="AK433" s="171">
        <f t="shared" si="305"/>
        <v>124.77718360071302</v>
      </c>
      <c r="AL433" s="171">
        <f t="shared" si="306"/>
        <v>114.28571428571428</v>
      </c>
      <c r="AM433" s="171">
        <f t="shared" si="306"/>
        <v>100</v>
      </c>
      <c r="AN433" s="165"/>
      <c r="AO433" s="193"/>
      <c r="AP433" s="193" t="e">
        <f t="shared" ca="1" si="312"/>
        <v>#NAME?</v>
      </c>
      <c r="AQ433" s="200">
        <v>2164</v>
      </c>
      <c r="AR433" s="204">
        <f>V433/R433*100</f>
        <v>124.77718360071302</v>
      </c>
      <c r="AS433" s="204">
        <f t="shared" si="314"/>
        <v>100</v>
      </c>
      <c r="AT433" s="204">
        <f>W433/R433*100</f>
        <v>124.77718360071302</v>
      </c>
      <c r="AU433" s="204">
        <f t="shared" si="315"/>
        <v>61.828571428571436</v>
      </c>
      <c r="AV433" s="204">
        <f>AQ433/R433*100</f>
        <v>77.147950089126567</v>
      </c>
    </row>
    <row r="434" spans="1:48" ht="12" customHeight="1">
      <c r="A434" s="53"/>
      <c r="B434" s="53"/>
      <c r="C434" s="53"/>
      <c r="D434" s="53"/>
      <c r="E434" s="53"/>
      <c r="F434" s="53"/>
      <c r="G434" s="53"/>
      <c r="H434" s="1" t="s">
        <v>394</v>
      </c>
      <c r="I434" s="345">
        <v>133</v>
      </c>
      <c r="J434" s="229">
        <v>3299</v>
      </c>
      <c r="K434" s="18" t="s">
        <v>395</v>
      </c>
      <c r="L434" s="130">
        <v>0</v>
      </c>
      <c r="M434" s="130">
        <v>0</v>
      </c>
      <c r="N434" s="131">
        <v>0</v>
      </c>
      <c r="O434" s="414">
        <f t="shared" si="321"/>
        <v>0</v>
      </c>
      <c r="P434" s="132">
        <v>5000</v>
      </c>
      <c r="Q434" s="163">
        <v>0</v>
      </c>
      <c r="R434" s="159">
        <v>0</v>
      </c>
      <c r="S434" s="165" t="e">
        <f ca="1">__xlfn.XLOOKUP(H434,[1]Izvršenje_proračuna_po_pozicija!$B$2:$B$153,[1]Izvršenje_proračuna_po_pozicija!$E$2:$E$153,0)</f>
        <v>#NAME?</v>
      </c>
      <c r="T434" s="165"/>
      <c r="U434" s="165"/>
      <c r="V434" s="200">
        <v>0</v>
      </c>
      <c r="W434" s="200">
        <v>0</v>
      </c>
      <c r="X434" s="164">
        <v>25000</v>
      </c>
      <c r="Y434" s="378">
        <v>5000</v>
      </c>
      <c r="Z434" s="378"/>
      <c r="AA434" s="370" t="e">
        <f t="shared" ca="1" si="313"/>
        <v>#NAME?</v>
      </c>
      <c r="AB434" s="183"/>
      <c r="AC434" s="178">
        <v>5000</v>
      </c>
      <c r="AD434" s="178">
        <v>5000</v>
      </c>
      <c r="AE434" s="178"/>
      <c r="AF434" s="178"/>
      <c r="AG434" s="178"/>
      <c r="AH434" s="178"/>
      <c r="AI434" s="183"/>
      <c r="AJ434" s="378">
        <v>5000</v>
      </c>
      <c r="AK434" s="171"/>
      <c r="AL434" s="171"/>
      <c r="AM434" s="171">
        <f t="shared" si="306"/>
        <v>20</v>
      </c>
      <c r="AN434" s="165"/>
      <c r="AO434" s="193"/>
      <c r="AP434" s="193" t="e">
        <f t="shared" ca="1" si="312"/>
        <v>#NAME?</v>
      </c>
      <c r="AQ434" s="200"/>
      <c r="AR434" s="204"/>
      <c r="AS434" s="204"/>
      <c r="AT434" s="204"/>
      <c r="AU434" s="204"/>
      <c r="AV434" s="204"/>
    </row>
    <row r="435" spans="1:48" ht="12" customHeight="1">
      <c r="A435" s="53"/>
      <c r="B435" s="53"/>
      <c r="C435" s="53"/>
      <c r="D435" s="53"/>
      <c r="E435" s="53"/>
      <c r="F435" s="53"/>
      <c r="G435" s="53"/>
      <c r="H435" s="1" t="s">
        <v>396</v>
      </c>
      <c r="I435" s="345">
        <v>133</v>
      </c>
      <c r="J435" s="229">
        <v>3299</v>
      </c>
      <c r="K435" s="18" t="s">
        <v>397</v>
      </c>
      <c r="L435" s="130">
        <v>0</v>
      </c>
      <c r="M435" s="130">
        <v>0</v>
      </c>
      <c r="N435" s="131">
        <v>0</v>
      </c>
      <c r="O435" s="414">
        <f t="shared" si="321"/>
        <v>0</v>
      </c>
      <c r="P435" s="132">
        <v>1000</v>
      </c>
      <c r="Q435" s="163">
        <v>0</v>
      </c>
      <c r="R435" s="159">
        <v>0</v>
      </c>
      <c r="S435" s="165" t="e">
        <f ca="1">__xlfn.XLOOKUP(H435,[1]Izvršenje_proračuna_po_pozicija!$B$2:$B$153,[1]Izvršenje_proračuna_po_pozicija!$E$2:$E$153,0)</f>
        <v>#NAME?</v>
      </c>
      <c r="T435" s="165"/>
      <c r="U435" s="165"/>
      <c r="V435" s="200">
        <v>0</v>
      </c>
      <c r="W435" s="200">
        <v>0</v>
      </c>
      <c r="X435" s="164">
        <v>1000</v>
      </c>
      <c r="Y435" s="378">
        <v>1000</v>
      </c>
      <c r="Z435" s="378"/>
      <c r="AA435" s="370" t="e">
        <f t="shared" ca="1" si="313"/>
        <v>#NAME?</v>
      </c>
      <c r="AB435" s="183"/>
      <c r="AC435" s="178">
        <v>1000</v>
      </c>
      <c r="AD435" s="178">
        <v>1000</v>
      </c>
      <c r="AE435" s="178"/>
      <c r="AF435" s="178"/>
      <c r="AG435" s="178"/>
      <c r="AH435" s="178"/>
      <c r="AI435" s="183"/>
      <c r="AJ435" s="378">
        <v>1000</v>
      </c>
      <c r="AK435" s="171"/>
      <c r="AL435" s="171"/>
      <c r="AM435" s="171">
        <f t="shared" si="306"/>
        <v>100</v>
      </c>
      <c r="AN435" s="165"/>
      <c r="AO435" s="193"/>
      <c r="AP435" s="193" t="e">
        <f t="shared" ca="1" si="312"/>
        <v>#NAME?</v>
      </c>
      <c r="AQ435" s="200"/>
      <c r="AR435" s="204"/>
      <c r="AS435" s="204"/>
      <c r="AT435" s="204"/>
      <c r="AU435" s="204"/>
      <c r="AV435" s="204"/>
    </row>
    <row r="436" spans="1:48" ht="12" customHeight="1">
      <c r="A436" s="53"/>
      <c r="B436" s="53"/>
      <c r="C436" s="53"/>
      <c r="D436" s="53"/>
      <c r="E436" s="53"/>
      <c r="F436" s="53"/>
      <c r="G436" s="53"/>
      <c r="H436" s="1" t="s">
        <v>398</v>
      </c>
      <c r="I436" s="345">
        <v>133</v>
      </c>
      <c r="J436" s="229">
        <v>3299</v>
      </c>
      <c r="K436" s="18" t="s">
        <v>399</v>
      </c>
      <c r="L436" s="130">
        <v>18516</v>
      </c>
      <c r="M436" s="130">
        <f>18516/7.5345</f>
        <v>2457.4955206052159</v>
      </c>
      <c r="N436" s="131">
        <v>7762</v>
      </c>
      <c r="O436" s="414">
        <f t="shared" si="321"/>
        <v>1030.1944389143273</v>
      </c>
      <c r="P436" s="132">
        <v>2000</v>
      </c>
      <c r="Q436" s="132">
        <v>2000</v>
      </c>
      <c r="R436" s="159">
        <v>0</v>
      </c>
      <c r="S436" s="165" t="e">
        <f ca="1">__xlfn.XLOOKUP(H436,[1]Izvršenje_proračuna_po_pozicija!$B$2:$B$153,[1]Izvršenje_proračuna_po_pozicija!$E$2:$E$153,0)</f>
        <v>#NAME?</v>
      </c>
      <c r="T436" s="165"/>
      <c r="U436" s="165"/>
      <c r="V436" s="200">
        <v>5000</v>
      </c>
      <c r="W436" s="200">
        <v>5000</v>
      </c>
      <c r="X436" s="164">
        <v>5000</v>
      </c>
      <c r="Y436" s="378">
        <v>5000</v>
      </c>
      <c r="Z436" s="378"/>
      <c r="AA436" s="370" t="e">
        <f t="shared" ca="1" si="313"/>
        <v>#NAME?</v>
      </c>
      <c r="AB436" s="183"/>
      <c r="AC436" s="178">
        <v>2000</v>
      </c>
      <c r="AD436" s="178">
        <v>2000</v>
      </c>
      <c r="AE436" s="178">
        <f>O436/M436*100</f>
        <v>41.920501188161587</v>
      </c>
      <c r="AF436" s="178">
        <f>P436/O436*100</f>
        <v>194.13810873486216</v>
      </c>
      <c r="AG436" s="178">
        <f>Q436/P436*100</f>
        <v>100</v>
      </c>
      <c r="AH436" s="178">
        <f>AC436/Q436*100</f>
        <v>100</v>
      </c>
      <c r="AI436" s="183"/>
      <c r="AJ436" s="378">
        <v>5000</v>
      </c>
      <c r="AK436" s="171"/>
      <c r="AL436" s="171">
        <f t="shared" si="306"/>
        <v>100</v>
      </c>
      <c r="AM436" s="171">
        <f t="shared" si="306"/>
        <v>100</v>
      </c>
      <c r="AN436" s="165"/>
      <c r="AO436" s="193"/>
      <c r="AP436" s="193" t="e">
        <f t="shared" ca="1" si="312"/>
        <v>#NAME?</v>
      </c>
      <c r="AQ436" s="200">
        <v>8757.44</v>
      </c>
      <c r="AR436" s="204"/>
      <c r="AS436" s="204">
        <f t="shared" si="314"/>
        <v>100</v>
      </c>
      <c r="AT436" s="204"/>
      <c r="AU436" s="204">
        <f t="shared" si="315"/>
        <v>175.14880000000002</v>
      </c>
      <c r="AV436" s="204"/>
    </row>
    <row r="437" spans="1:48" ht="12" customHeight="1">
      <c r="A437" s="53"/>
      <c r="B437" s="53"/>
      <c r="C437" s="53"/>
      <c r="D437" s="53"/>
      <c r="E437" s="53"/>
      <c r="F437" s="53"/>
      <c r="G437" s="53"/>
      <c r="H437" s="1" t="s">
        <v>400</v>
      </c>
      <c r="I437" s="345">
        <v>133</v>
      </c>
      <c r="J437" s="229">
        <v>3299</v>
      </c>
      <c r="K437" s="18" t="s">
        <v>401</v>
      </c>
      <c r="L437" s="130">
        <v>15967</v>
      </c>
      <c r="M437" s="130">
        <f>15967/7.5345</f>
        <v>2119.1850819563342</v>
      </c>
      <c r="N437" s="131">
        <v>38543</v>
      </c>
      <c r="O437" s="414">
        <f t="shared" si="321"/>
        <v>5115.5352047249316</v>
      </c>
      <c r="P437" s="132">
        <v>5500</v>
      </c>
      <c r="Q437" s="132">
        <v>5500</v>
      </c>
      <c r="R437" s="159">
        <v>6144</v>
      </c>
      <c r="S437" s="165" t="e">
        <f ca="1">__xlfn.XLOOKUP(H437,[1]Izvršenje_proračuna_po_pozicija!$B$2:$B$153,[1]Izvršenje_proračuna_po_pozicija!$E$2:$E$153,0)</f>
        <v>#NAME?</v>
      </c>
      <c r="T437" s="165"/>
      <c r="U437" s="165"/>
      <c r="V437" s="200">
        <v>8000</v>
      </c>
      <c r="W437" s="200">
        <v>8000</v>
      </c>
      <c r="X437" s="164">
        <v>8000</v>
      </c>
      <c r="Y437" s="378">
        <v>10000</v>
      </c>
      <c r="Z437" s="378"/>
      <c r="AA437" s="370" t="e">
        <f t="shared" ca="1" si="313"/>
        <v>#NAME?</v>
      </c>
      <c r="AB437" s="183"/>
      <c r="AC437" s="178">
        <v>6000</v>
      </c>
      <c r="AD437" s="178">
        <v>6000</v>
      </c>
      <c r="AE437" s="178">
        <f>O437/M437*100</f>
        <v>241.39162021669694</v>
      </c>
      <c r="AF437" s="178">
        <f>P437/O437*100</f>
        <v>107.5156318916535</v>
      </c>
      <c r="AG437" s="178">
        <f>Q437/P437*100</f>
        <v>100</v>
      </c>
      <c r="AH437" s="178">
        <f>AC437/Q437*100</f>
        <v>109.09090909090908</v>
      </c>
      <c r="AI437" s="183"/>
      <c r="AJ437" s="378">
        <v>10000</v>
      </c>
      <c r="AK437" s="171">
        <f t="shared" si="305"/>
        <v>130.20833333333331</v>
      </c>
      <c r="AL437" s="171">
        <f t="shared" si="306"/>
        <v>100</v>
      </c>
      <c r="AM437" s="171">
        <f t="shared" si="306"/>
        <v>125</v>
      </c>
      <c r="AN437" s="165"/>
      <c r="AO437" s="193"/>
      <c r="AP437" s="193" t="e">
        <f t="shared" ca="1" si="312"/>
        <v>#NAME?</v>
      </c>
      <c r="AQ437" s="200">
        <v>7750.4</v>
      </c>
      <c r="AR437" s="204">
        <f>V437/R437*100</f>
        <v>130.20833333333331</v>
      </c>
      <c r="AS437" s="204">
        <f t="shared" si="314"/>
        <v>100</v>
      </c>
      <c r="AT437" s="204">
        <f>W437/R437*100</f>
        <v>130.20833333333331</v>
      </c>
      <c r="AU437" s="204">
        <f t="shared" si="315"/>
        <v>96.88</v>
      </c>
      <c r="AV437" s="204">
        <f>AQ437/R437*100</f>
        <v>126.14583333333333</v>
      </c>
    </row>
    <row r="438" spans="1:48" ht="12" customHeight="1">
      <c r="A438" s="53"/>
      <c r="B438" s="53"/>
      <c r="C438" s="53"/>
      <c r="D438" s="53"/>
      <c r="E438" s="53"/>
      <c r="F438" s="53"/>
      <c r="G438" s="53"/>
      <c r="H438" s="1" t="s">
        <v>402</v>
      </c>
      <c r="I438" s="345">
        <v>133</v>
      </c>
      <c r="J438" s="229">
        <v>3299</v>
      </c>
      <c r="K438" s="18" t="s">
        <v>403</v>
      </c>
      <c r="L438" s="130">
        <v>0</v>
      </c>
      <c r="M438" s="130">
        <v>0</v>
      </c>
      <c r="N438" s="131">
        <v>0</v>
      </c>
      <c r="O438" s="414">
        <f t="shared" si="321"/>
        <v>0</v>
      </c>
      <c r="P438" s="132">
        <v>0</v>
      </c>
      <c r="Q438" s="132">
        <v>0</v>
      </c>
      <c r="R438" s="159">
        <v>0</v>
      </c>
      <c r="S438" s="165" t="e">
        <f ca="1">__xlfn.XLOOKUP(H438,[1]Izvršenje_proračuna_po_pozicija!$B$2:$B$153,[1]Izvršenje_proračuna_po_pozicija!$E$2:$E$153,0)</f>
        <v>#NAME?</v>
      </c>
      <c r="T438" s="165"/>
      <c r="U438" s="165"/>
      <c r="V438" s="200"/>
      <c r="W438" s="200"/>
      <c r="X438" s="164"/>
      <c r="Y438" s="378"/>
      <c r="Z438" s="378"/>
      <c r="AA438" s="370" t="e">
        <f t="shared" ca="1" si="313"/>
        <v>#NAME?</v>
      </c>
      <c r="AB438" s="183"/>
      <c r="AC438" s="178">
        <v>0</v>
      </c>
      <c r="AD438" s="178">
        <v>0</v>
      </c>
      <c r="AE438" s="178"/>
      <c r="AF438" s="178"/>
      <c r="AG438" s="178"/>
      <c r="AH438" s="178"/>
      <c r="AI438" s="183"/>
      <c r="AJ438" s="378"/>
      <c r="AK438" s="171"/>
      <c r="AL438" s="171"/>
      <c r="AM438" s="171"/>
      <c r="AN438" s="165"/>
      <c r="AO438" s="193"/>
      <c r="AP438" s="193" t="e">
        <f t="shared" ca="1" si="312"/>
        <v>#NAME?</v>
      </c>
      <c r="AQ438" s="200"/>
      <c r="AR438" s="204"/>
      <c r="AS438" s="204"/>
      <c r="AT438" s="204"/>
      <c r="AU438" s="204"/>
      <c r="AV438" s="204"/>
    </row>
    <row r="439" spans="1:48" ht="12" customHeight="1">
      <c r="A439" s="42"/>
      <c r="B439" s="42"/>
      <c r="C439" s="42"/>
      <c r="D439" s="42"/>
      <c r="E439" s="42"/>
      <c r="F439" s="42"/>
      <c r="G439" s="42"/>
      <c r="H439" s="308"/>
      <c r="I439" s="14"/>
      <c r="J439" s="2"/>
      <c r="K439" s="84"/>
      <c r="L439" s="85">
        <v>1</v>
      </c>
      <c r="M439" s="85">
        <v>2</v>
      </c>
      <c r="N439" s="86">
        <v>3</v>
      </c>
      <c r="O439" s="86">
        <v>4</v>
      </c>
      <c r="P439" s="87">
        <v>5</v>
      </c>
      <c r="Q439" s="87">
        <v>6</v>
      </c>
      <c r="R439" s="160"/>
      <c r="S439" s="165" t="e">
        <f ca="1">__xlfn.XLOOKUP(H439,[1]Izvršenje_proračuna_po_pozicija!$B$2:$B$153,[1]Izvršenje_proračuna_po_pozicija!$E$2:$E$153,0)</f>
        <v>#NAME?</v>
      </c>
      <c r="T439" s="165"/>
      <c r="U439" s="165"/>
      <c r="V439" s="200"/>
      <c r="W439" s="200"/>
      <c r="X439" s="361"/>
      <c r="Y439" s="373"/>
      <c r="Z439" s="373"/>
      <c r="AA439" s="370" t="e">
        <f t="shared" ca="1" si="313"/>
        <v>#NAME?</v>
      </c>
      <c r="AB439" s="181"/>
      <c r="AC439" s="182">
        <v>7</v>
      </c>
      <c r="AD439" s="182">
        <v>8</v>
      </c>
      <c r="AE439" s="182">
        <v>9</v>
      </c>
      <c r="AF439" s="182">
        <v>10</v>
      </c>
      <c r="AG439" s="182">
        <v>11</v>
      </c>
      <c r="AH439" s="182">
        <v>12</v>
      </c>
      <c r="AI439" s="181"/>
      <c r="AJ439" s="373"/>
      <c r="AK439" s="171"/>
      <c r="AL439" s="171"/>
      <c r="AM439" s="171"/>
      <c r="AN439" s="161"/>
      <c r="AO439" s="193"/>
      <c r="AP439" s="193" t="e">
        <f t="shared" ca="1" si="312"/>
        <v>#NAME?</v>
      </c>
      <c r="AQ439" s="200"/>
      <c r="AR439" s="204"/>
      <c r="AS439" s="204"/>
      <c r="AT439" s="204"/>
      <c r="AU439" s="204"/>
      <c r="AV439" s="204"/>
    </row>
    <row r="440" spans="1:48" ht="12" customHeight="1">
      <c r="A440" s="53"/>
      <c r="B440" s="53"/>
      <c r="C440" s="53"/>
      <c r="D440" s="53"/>
      <c r="E440" s="53"/>
      <c r="F440" s="53"/>
      <c r="G440" s="53"/>
      <c r="H440" s="1" t="s">
        <v>404</v>
      </c>
      <c r="I440" s="345">
        <v>133</v>
      </c>
      <c r="J440" s="229">
        <v>3299</v>
      </c>
      <c r="K440" s="18" t="s">
        <v>405</v>
      </c>
      <c r="L440" s="130">
        <v>0</v>
      </c>
      <c r="M440" s="130">
        <v>0</v>
      </c>
      <c r="N440" s="131">
        <v>0</v>
      </c>
      <c r="O440" s="131">
        <v>0</v>
      </c>
      <c r="P440" s="132">
        <v>13300</v>
      </c>
      <c r="Q440" s="163">
        <v>0</v>
      </c>
      <c r="R440" s="159">
        <v>0</v>
      </c>
      <c r="S440" s="165" t="e">
        <f ca="1">__xlfn.XLOOKUP(H440,[1]Izvršenje_proračuna_po_pozicija!$B$2:$B$153,[1]Izvršenje_proračuna_po_pozicija!$E$2:$E$153,0)</f>
        <v>#NAME?</v>
      </c>
      <c r="T440" s="165"/>
      <c r="U440" s="165"/>
      <c r="V440" s="200">
        <v>0</v>
      </c>
      <c r="W440" s="200">
        <v>0</v>
      </c>
      <c r="X440" s="164">
        <v>15000</v>
      </c>
      <c r="Y440" s="378">
        <v>10000</v>
      </c>
      <c r="Z440" s="378"/>
      <c r="AA440" s="370" t="e">
        <f t="shared" ca="1" si="313"/>
        <v>#NAME?</v>
      </c>
      <c r="AB440" s="183"/>
      <c r="AC440" s="178">
        <v>13000</v>
      </c>
      <c r="AD440" s="178">
        <v>13000</v>
      </c>
      <c r="AE440" s="178"/>
      <c r="AF440" s="178"/>
      <c r="AG440" s="178"/>
      <c r="AH440" s="178"/>
      <c r="AI440" s="183"/>
      <c r="AJ440" s="378">
        <v>10000</v>
      </c>
      <c r="AK440" s="171"/>
      <c r="AL440" s="171"/>
      <c r="AM440" s="171">
        <f t="shared" si="306"/>
        <v>66.666666666666657</v>
      </c>
      <c r="AN440" s="165"/>
      <c r="AO440" s="193"/>
      <c r="AP440" s="193" t="e">
        <f t="shared" ca="1" si="312"/>
        <v>#NAME?</v>
      </c>
      <c r="AQ440" s="200"/>
      <c r="AR440" s="204"/>
      <c r="AS440" s="204"/>
      <c r="AT440" s="204"/>
      <c r="AU440" s="204"/>
      <c r="AV440" s="204"/>
    </row>
    <row r="441" spans="1:48" ht="12" customHeight="1">
      <c r="A441" s="53"/>
      <c r="B441" s="53"/>
      <c r="C441" s="53"/>
      <c r="D441" s="53"/>
      <c r="E441" s="53"/>
      <c r="F441" s="53"/>
      <c r="G441" s="53"/>
      <c r="H441" s="1">
        <v>26</v>
      </c>
      <c r="I441" s="345">
        <v>133</v>
      </c>
      <c r="J441" s="229">
        <v>3299</v>
      </c>
      <c r="K441" s="18" t="s">
        <v>406</v>
      </c>
      <c r="L441" s="163">
        <v>210762</v>
      </c>
      <c r="M441" s="163">
        <f>210762/7.5345</f>
        <v>27972.924547083414</v>
      </c>
      <c r="N441" s="163">
        <v>250378</v>
      </c>
      <c r="O441" s="163">
        <f>N441/7.5345</f>
        <v>33230.87132523724</v>
      </c>
      <c r="P441" s="163">
        <v>34000</v>
      </c>
      <c r="Q441" s="163">
        <v>55000</v>
      </c>
      <c r="R441" s="159">
        <v>53159</v>
      </c>
      <c r="S441" s="423">
        <v>89869</v>
      </c>
      <c r="T441" s="423"/>
      <c r="U441" s="423"/>
      <c r="V441" s="200">
        <v>80000</v>
      </c>
      <c r="W441" s="200">
        <v>80000</v>
      </c>
      <c r="X441" s="164">
        <v>120000</v>
      </c>
      <c r="Y441" s="378">
        <v>130000</v>
      </c>
      <c r="Z441" s="378"/>
      <c r="AA441" s="370" t="e">
        <f t="shared" ca="1" si="313"/>
        <v>#NAME?</v>
      </c>
      <c r="AB441" s="183"/>
      <c r="AC441" s="178">
        <v>35000</v>
      </c>
      <c r="AD441" s="178">
        <v>35000</v>
      </c>
      <c r="AE441" s="178">
        <f>O441/M441*100</f>
        <v>118.79655725415397</v>
      </c>
      <c r="AF441" s="178">
        <f>P441/O441*100</f>
        <v>102.31450047528139</v>
      </c>
      <c r="AG441" s="178">
        <f>Q441/P441*100</f>
        <v>161.76470588235296</v>
      </c>
      <c r="AH441" s="178">
        <f>AC441/Q441*100</f>
        <v>63.636363636363633</v>
      </c>
      <c r="AI441" s="183"/>
      <c r="AJ441" s="378">
        <v>130000</v>
      </c>
      <c r="AK441" s="171">
        <f t="shared" si="305"/>
        <v>150.49192046502003</v>
      </c>
      <c r="AL441" s="171">
        <f t="shared" si="306"/>
        <v>150</v>
      </c>
      <c r="AM441" s="171">
        <f t="shared" si="306"/>
        <v>108.33333333333333</v>
      </c>
      <c r="AN441" s="423"/>
      <c r="AO441" s="193"/>
      <c r="AP441" s="193" t="e">
        <f t="shared" ca="1" si="312"/>
        <v>#NAME?</v>
      </c>
      <c r="AQ441" s="200">
        <v>82328.88</v>
      </c>
      <c r="AR441" s="204">
        <f>V441/R441*100</f>
        <v>150.49192046502003</v>
      </c>
      <c r="AS441" s="204">
        <f t="shared" si="314"/>
        <v>100</v>
      </c>
      <c r="AT441" s="204">
        <f>W441/R441*100</f>
        <v>150.49192046502003</v>
      </c>
      <c r="AU441" s="204">
        <f t="shared" si="315"/>
        <v>102.9111</v>
      </c>
      <c r="AV441" s="204">
        <f>AQ441/R441*100</f>
        <v>154.87289076167724</v>
      </c>
    </row>
    <row r="442" spans="1:48" ht="12" customHeight="1">
      <c r="A442" s="42"/>
      <c r="B442" s="42"/>
      <c r="C442" s="42"/>
      <c r="D442" s="42"/>
      <c r="E442" s="42"/>
      <c r="F442" s="42"/>
      <c r="G442" s="42"/>
      <c r="H442" s="308"/>
      <c r="I442" s="14"/>
      <c r="J442" s="2"/>
      <c r="K442" s="84"/>
      <c r="L442" s="85"/>
      <c r="M442" s="85"/>
      <c r="N442" s="86"/>
      <c r="O442" s="86"/>
      <c r="P442" s="87"/>
      <c r="Q442" s="87"/>
      <c r="R442" s="160"/>
      <c r="S442" s="165" t="e">
        <f ca="1">__xlfn.XLOOKUP(H442,[1]Izvršenje_proračuna_po_pozicija!$B$2:$B$153,[1]Izvršenje_proračuna_po_pozicija!$E$2:$E$153,0)</f>
        <v>#NAME?</v>
      </c>
      <c r="T442" s="165"/>
      <c r="U442" s="165"/>
      <c r="V442" s="200"/>
      <c r="W442" s="200"/>
      <c r="X442" s="361"/>
      <c r="Y442" s="373"/>
      <c r="Z442" s="373"/>
      <c r="AA442" s="370" t="e">
        <f t="shared" ca="1" si="313"/>
        <v>#NAME?</v>
      </c>
      <c r="AB442" s="181"/>
      <c r="AC442" s="182"/>
      <c r="AD442" s="182"/>
      <c r="AE442" s="178"/>
      <c r="AF442" s="178"/>
      <c r="AG442" s="178"/>
      <c r="AH442" s="178"/>
      <c r="AI442" s="181"/>
      <c r="AJ442" s="373"/>
      <c r="AK442" s="171"/>
      <c r="AL442" s="171"/>
      <c r="AM442" s="171"/>
      <c r="AN442" s="161"/>
      <c r="AO442" s="193"/>
      <c r="AP442" s="193" t="e">
        <f t="shared" ca="1" si="312"/>
        <v>#NAME?</v>
      </c>
      <c r="AQ442" s="200"/>
      <c r="AR442" s="204"/>
      <c r="AS442" s="204"/>
      <c r="AT442" s="204"/>
      <c r="AU442" s="204"/>
      <c r="AV442" s="204"/>
    </row>
    <row r="443" spans="1:48" ht="12" customHeight="1">
      <c r="A443" s="301"/>
      <c r="B443" s="301"/>
      <c r="C443" s="301"/>
      <c r="D443" s="301"/>
      <c r="E443" s="301"/>
      <c r="F443" s="301"/>
      <c r="G443" s="301"/>
      <c r="H443" s="307"/>
      <c r="I443" s="405"/>
      <c r="J443" s="302">
        <v>38</v>
      </c>
      <c r="K443" s="343" t="s">
        <v>285</v>
      </c>
      <c r="L443" s="112">
        <f t="shared" ref="L443:S443" si="322">L445+L448+L451</f>
        <v>87280</v>
      </c>
      <c r="M443" s="112">
        <f t="shared" si="322"/>
        <v>11584.046718428561</v>
      </c>
      <c r="N443" s="113">
        <f t="shared" si="322"/>
        <v>7673</v>
      </c>
      <c r="O443" s="113">
        <f t="shared" si="322"/>
        <v>1018.3821089654257</v>
      </c>
      <c r="P443" s="114">
        <f t="shared" si="322"/>
        <v>19740</v>
      </c>
      <c r="Q443" s="114">
        <f t="shared" si="322"/>
        <v>20740</v>
      </c>
      <c r="R443" s="88">
        <f t="shared" si="322"/>
        <v>200</v>
      </c>
      <c r="S443" s="90" t="e">
        <f t="shared" ca="1" si="322"/>
        <v>#NAME?</v>
      </c>
      <c r="T443" s="90"/>
      <c r="U443" s="90"/>
      <c r="V443" s="200">
        <f>V445+V448+V451</f>
        <v>9390</v>
      </c>
      <c r="W443" s="200">
        <f>W445+W448+W451</f>
        <v>9390</v>
      </c>
      <c r="X443" s="88">
        <f>X445+X448+X451</f>
        <v>12660</v>
      </c>
      <c r="Y443" s="171">
        <f>Y445+Y448+Y451</f>
        <v>8748</v>
      </c>
      <c r="Z443" s="171">
        <f>Z445+Z448+Z451</f>
        <v>0</v>
      </c>
      <c r="AA443" s="370" t="e">
        <f t="shared" ca="1" si="313"/>
        <v>#NAME?</v>
      </c>
      <c r="AB443" s="171"/>
      <c r="AC443" s="172">
        <f>AC445+AC448+AC451</f>
        <v>21450</v>
      </c>
      <c r="AD443" s="172">
        <f>AD445+AD448+AD451</f>
        <v>21450</v>
      </c>
      <c r="AE443" s="178">
        <f>O443/M443*100</f>
        <v>8.7912465627864353</v>
      </c>
      <c r="AF443" s="178"/>
      <c r="AG443" s="178"/>
      <c r="AH443" s="178"/>
      <c r="AI443" s="171"/>
      <c r="AJ443" s="171">
        <v>8748</v>
      </c>
      <c r="AK443" s="171">
        <f t="shared" si="305"/>
        <v>4695</v>
      </c>
      <c r="AL443" s="171">
        <f t="shared" si="306"/>
        <v>134.82428115015975</v>
      </c>
      <c r="AM443" s="171">
        <f t="shared" si="306"/>
        <v>69.09952606635072</v>
      </c>
      <c r="AN443" s="90"/>
      <c r="AO443" s="193"/>
      <c r="AP443" s="193" t="e">
        <f t="shared" ca="1" si="312"/>
        <v>#NAME?</v>
      </c>
      <c r="AQ443" s="200">
        <f>AQ445+AQ448+AQ451</f>
        <v>1500</v>
      </c>
      <c r="AR443" s="204">
        <f>V443/R443*100</f>
        <v>4695</v>
      </c>
      <c r="AS443" s="204">
        <f t="shared" si="314"/>
        <v>100</v>
      </c>
      <c r="AT443" s="204">
        <f>W443/R443*100</f>
        <v>4695</v>
      </c>
      <c r="AU443" s="204">
        <f t="shared" si="315"/>
        <v>15.974440894568689</v>
      </c>
      <c r="AV443" s="204">
        <f>AQ443/R443*100</f>
        <v>750</v>
      </c>
    </row>
    <row r="444" spans="1:48" ht="12" customHeight="1">
      <c r="A444" s="42"/>
      <c r="B444" s="42"/>
      <c r="C444" s="42"/>
      <c r="D444" s="42"/>
      <c r="E444" s="42"/>
      <c r="F444" s="42"/>
      <c r="G444" s="42"/>
      <c r="H444" s="308"/>
      <c r="I444" s="14"/>
      <c r="J444" s="2"/>
      <c r="K444" s="84"/>
      <c r="L444" s="85"/>
      <c r="M444" s="85"/>
      <c r="N444" s="86"/>
      <c r="O444" s="86"/>
      <c r="P444" s="87"/>
      <c r="Q444" s="87"/>
      <c r="R444" s="160"/>
      <c r="S444" s="165" t="e">
        <f ca="1">__xlfn.XLOOKUP(H444,[1]Izvršenje_proračuna_po_pozicija!$B$2:$B$153,[1]Izvršenje_proračuna_po_pozicija!$E$2:$E$153,0)</f>
        <v>#NAME?</v>
      </c>
      <c r="T444" s="165"/>
      <c r="U444" s="165"/>
      <c r="V444" s="200"/>
      <c r="W444" s="200"/>
      <c r="X444" s="361"/>
      <c r="Y444" s="373"/>
      <c r="Z444" s="373"/>
      <c r="AA444" s="370" t="e">
        <f t="shared" ca="1" si="313"/>
        <v>#NAME?</v>
      </c>
      <c r="AB444" s="181"/>
      <c r="AC444" s="182"/>
      <c r="AD444" s="182"/>
      <c r="AE444" s="178"/>
      <c r="AF444" s="178"/>
      <c r="AG444" s="178"/>
      <c r="AH444" s="178"/>
      <c r="AI444" s="181"/>
      <c r="AJ444" s="373"/>
      <c r="AK444" s="171"/>
      <c r="AL444" s="171"/>
      <c r="AM444" s="171"/>
      <c r="AN444" s="161"/>
      <c r="AO444" s="193"/>
      <c r="AP444" s="193" t="e">
        <f t="shared" ca="1" si="312"/>
        <v>#NAME?</v>
      </c>
      <c r="AQ444" s="200"/>
      <c r="AR444" s="204"/>
      <c r="AS444" s="204"/>
      <c r="AT444" s="204"/>
      <c r="AU444" s="204"/>
      <c r="AV444" s="204"/>
    </row>
    <row r="445" spans="1:48" ht="12" customHeight="1">
      <c r="A445" s="62"/>
      <c r="B445" s="272"/>
      <c r="C445" s="272"/>
      <c r="D445" s="272"/>
      <c r="E445" s="272"/>
      <c r="F445" s="272"/>
      <c r="G445" s="272"/>
      <c r="H445" s="396"/>
      <c r="I445" s="416"/>
      <c r="J445" s="303">
        <v>381</v>
      </c>
      <c r="K445" s="19" t="s">
        <v>407</v>
      </c>
      <c r="L445" s="112">
        <f t="shared" ref="L445:Z445" si="323">L446</f>
        <v>0</v>
      </c>
      <c r="M445" s="112">
        <f t="shared" si="323"/>
        <v>0</v>
      </c>
      <c r="N445" s="113">
        <f t="shared" si="323"/>
        <v>0</v>
      </c>
      <c r="O445" s="113">
        <f t="shared" si="323"/>
        <v>0</v>
      </c>
      <c r="P445" s="114">
        <f t="shared" si="323"/>
        <v>1700</v>
      </c>
      <c r="Q445" s="114">
        <f t="shared" si="323"/>
        <v>1700</v>
      </c>
      <c r="R445" s="88">
        <f t="shared" si="323"/>
        <v>200</v>
      </c>
      <c r="S445" s="90" t="e">
        <f t="shared" ca="1" si="323"/>
        <v>#NAME?</v>
      </c>
      <c r="T445" s="90"/>
      <c r="U445" s="90"/>
      <c r="V445" s="200">
        <f>V446</f>
        <v>0</v>
      </c>
      <c r="W445" s="200">
        <f t="shared" si="323"/>
        <v>0</v>
      </c>
      <c r="X445" s="88">
        <f t="shared" si="323"/>
        <v>2000</v>
      </c>
      <c r="Y445" s="171">
        <f t="shared" si="323"/>
        <v>2000</v>
      </c>
      <c r="Z445" s="171">
        <f t="shared" si="323"/>
        <v>0</v>
      </c>
      <c r="AA445" s="370" t="e">
        <f t="shared" ca="1" si="313"/>
        <v>#NAME?</v>
      </c>
      <c r="AB445" s="171"/>
      <c r="AC445" s="172">
        <f>AC446</f>
        <v>3000</v>
      </c>
      <c r="AD445" s="172">
        <f>AD446</f>
        <v>3000</v>
      </c>
      <c r="AE445" s="178"/>
      <c r="AF445" s="178"/>
      <c r="AG445" s="178"/>
      <c r="AH445" s="178"/>
      <c r="AI445" s="171"/>
      <c r="AJ445" s="171">
        <v>2000</v>
      </c>
      <c r="AK445" s="171">
        <f t="shared" si="305"/>
        <v>0</v>
      </c>
      <c r="AL445" s="171"/>
      <c r="AM445" s="171">
        <f t="shared" si="306"/>
        <v>100</v>
      </c>
      <c r="AN445" s="90"/>
      <c r="AO445" s="193"/>
      <c r="AP445" s="193" t="e">
        <f t="shared" ca="1" si="312"/>
        <v>#NAME?</v>
      </c>
      <c r="AQ445" s="200">
        <f>AQ446</f>
        <v>0</v>
      </c>
      <c r="AR445" s="204">
        <f>V445/R445*100</f>
        <v>0</v>
      </c>
      <c r="AS445" s="204"/>
      <c r="AT445" s="204">
        <f>W445/R445*100</f>
        <v>0</v>
      </c>
      <c r="AU445" s="204"/>
      <c r="AV445" s="204">
        <f>AQ445/R445*100</f>
        <v>0</v>
      </c>
    </row>
    <row r="446" spans="1:48" ht="12" customHeight="1">
      <c r="A446" s="53"/>
      <c r="B446" s="53"/>
      <c r="C446" s="53"/>
      <c r="D446" s="53"/>
      <c r="E446" s="53"/>
      <c r="F446" s="53"/>
      <c r="G446" s="53"/>
      <c r="H446" s="1" t="s">
        <v>408</v>
      </c>
      <c r="I446" s="345">
        <v>133</v>
      </c>
      <c r="J446" s="229">
        <v>3811</v>
      </c>
      <c r="K446" s="18" t="s">
        <v>409</v>
      </c>
      <c r="L446" s="130">
        <v>0</v>
      </c>
      <c r="M446" s="130">
        <v>0</v>
      </c>
      <c r="N446" s="131">
        <v>0</v>
      </c>
      <c r="O446" s="131">
        <v>0</v>
      </c>
      <c r="P446" s="132">
        <v>1700</v>
      </c>
      <c r="Q446" s="132">
        <v>1700</v>
      </c>
      <c r="R446" s="159">
        <v>200</v>
      </c>
      <c r="S446" s="165" t="e">
        <f ca="1">__xlfn.XLOOKUP(H446,[1]Izvršenje_proračuna_po_pozicija!$B$2:$B$153,[1]Izvršenje_proračuna_po_pozicija!$E$2:$E$153,0)</f>
        <v>#NAME?</v>
      </c>
      <c r="T446" s="165"/>
      <c r="U446" s="165"/>
      <c r="V446" s="200">
        <v>0</v>
      </c>
      <c r="W446" s="200">
        <v>0</v>
      </c>
      <c r="X446" s="164">
        <v>2000</v>
      </c>
      <c r="Y446" s="378">
        <v>2000</v>
      </c>
      <c r="Z446" s="378"/>
      <c r="AA446" s="370" t="e">
        <f t="shared" ca="1" si="313"/>
        <v>#NAME?</v>
      </c>
      <c r="AB446" s="183"/>
      <c r="AC446" s="178">
        <v>3000</v>
      </c>
      <c r="AD446" s="178">
        <v>3000</v>
      </c>
      <c r="AE446" s="178"/>
      <c r="AF446" s="178"/>
      <c r="AG446" s="178"/>
      <c r="AH446" s="178"/>
      <c r="AI446" s="183"/>
      <c r="AJ446" s="378">
        <v>2000</v>
      </c>
      <c r="AK446" s="171">
        <f t="shared" si="305"/>
        <v>0</v>
      </c>
      <c r="AL446" s="171"/>
      <c r="AM446" s="171">
        <f t="shared" si="306"/>
        <v>100</v>
      </c>
      <c r="AN446" s="165"/>
      <c r="AO446" s="193"/>
      <c r="AP446" s="193" t="e">
        <f t="shared" ca="1" si="312"/>
        <v>#NAME?</v>
      </c>
      <c r="AQ446" s="200"/>
      <c r="AR446" s="204">
        <f>V446/R446*100</f>
        <v>0</v>
      </c>
      <c r="AS446" s="204"/>
      <c r="AT446" s="204">
        <f>W446/R446*100</f>
        <v>0</v>
      </c>
      <c r="AU446" s="204"/>
      <c r="AV446" s="204">
        <f>AQ446/R446*100</f>
        <v>0</v>
      </c>
    </row>
    <row r="447" spans="1:48" ht="12" customHeight="1">
      <c r="A447" s="42"/>
      <c r="B447" s="42"/>
      <c r="C447" s="42"/>
      <c r="D447" s="42"/>
      <c r="E447" s="42"/>
      <c r="F447" s="42"/>
      <c r="G447" s="42"/>
      <c r="H447" s="308"/>
      <c r="I447" s="14"/>
      <c r="J447" s="2"/>
      <c r="K447" s="84"/>
      <c r="L447" s="85"/>
      <c r="M447" s="85"/>
      <c r="N447" s="86"/>
      <c r="O447" s="86"/>
      <c r="P447" s="87"/>
      <c r="Q447" s="87"/>
      <c r="R447" s="160"/>
      <c r="S447" s="165" t="e">
        <f ca="1">__xlfn.XLOOKUP(H447,[1]Izvršenje_proračuna_po_pozicija!$B$2:$B$153,[1]Izvršenje_proračuna_po_pozicija!$E$2:$E$153,0)</f>
        <v>#NAME?</v>
      </c>
      <c r="T447" s="165"/>
      <c r="U447" s="165"/>
      <c r="V447" s="200"/>
      <c r="W447" s="200"/>
      <c r="X447" s="361"/>
      <c r="Y447" s="373"/>
      <c r="Z447" s="373"/>
      <c r="AA447" s="370" t="e">
        <f t="shared" ca="1" si="313"/>
        <v>#NAME?</v>
      </c>
      <c r="AB447" s="181"/>
      <c r="AC447" s="182"/>
      <c r="AD447" s="182"/>
      <c r="AE447" s="178"/>
      <c r="AF447" s="178"/>
      <c r="AG447" s="178"/>
      <c r="AH447" s="178"/>
      <c r="AI447" s="181"/>
      <c r="AJ447" s="373"/>
      <c r="AK447" s="171"/>
      <c r="AL447" s="171"/>
      <c r="AM447" s="171"/>
      <c r="AN447" s="161"/>
      <c r="AO447" s="193"/>
      <c r="AP447" s="193" t="e">
        <f t="shared" ca="1" si="312"/>
        <v>#NAME?</v>
      </c>
      <c r="AQ447" s="200"/>
      <c r="AR447" s="204"/>
      <c r="AS447" s="204"/>
      <c r="AT447" s="204"/>
      <c r="AU447" s="204"/>
      <c r="AV447" s="204"/>
    </row>
    <row r="448" spans="1:48" ht="12" customHeight="1">
      <c r="A448" s="62"/>
      <c r="B448" s="272"/>
      <c r="C448" s="272"/>
      <c r="D448" s="272"/>
      <c r="E448" s="272"/>
      <c r="F448" s="272"/>
      <c r="G448" s="272"/>
      <c r="H448" s="396"/>
      <c r="I448" s="416"/>
      <c r="J448" s="303">
        <v>383</v>
      </c>
      <c r="K448" s="19" t="s">
        <v>410</v>
      </c>
      <c r="L448" s="112">
        <f t="shared" ref="L448:Z448" si="324">L449</f>
        <v>87280</v>
      </c>
      <c r="M448" s="112">
        <f t="shared" si="324"/>
        <v>11584.046718428561</v>
      </c>
      <c r="N448" s="113">
        <f t="shared" si="324"/>
        <v>7673</v>
      </c>
      <c r="O448" s="113">
        <f t="shared" si="324"/>
        <v>1018.3821089654257</v>
      </c>
      <c r="P448" s="114">
        <f t="shared" si="324"/>
        <v>4000</v>
      </c>
      <c r="Q448" s="114">
        <f t="shared" si="324"/>
        <v>12600</v>
      </c>
      <c r="R448" s="88">
        <f t="shared" si="324"/>
        <v>0</v>
      </c>
      <c r="S448" s="90" t="e">
        <f t="shared" ca="1" si="324"/>
        <v>#NAME?</v>
      </c>
      <c r="T448" s="90"/>
      <c r="U448" s="90"/>
      <c r="V448" s="200">
        <f>V449</f>
        <v>5000</v>
      </c>
      <c r="W448" s="200">
        <f t="shared" si="324"/>
        <v>5000</v>
      </c>
      <c r="X448" s="88">
        <f t="shared" si="324"/>
        <v>5000</v>
      </c>
      <c r="Y448" s="171">
        <f t="shared" si="324"/>
        <v>5000</v>
      </c>
      <c r="Z448" s="171">
        <f t="shared" si="324"/>
        <v>0</v>
      </c>
      <c r="AA448" s="370" t="e">
        <f t="shared" ca="1" si="313"/>
        <v>#NAME?</v>
      </c>
      <c r="AB448" s="171"/>
      <c r="AC448" s="172">
        <f>AC449</f>
        <v>4000</v>
      </c>
      <c r="AD448" s="172">
        <f>AD449</f>
        <v>4000</v>
      </c>
      <c r="AE448" s="178">
        <f>O448/M448*100</f>
        <v>8.7912465627864353</v>
      </c>
      <c r="AF448" s="178"/>
      <c r="AG448" s="178"/>
      <c r="AH448" s="178"/>
      <c r="AI448" s="171"/>
      <c r="AJ448" s="171">
        <v>5000</v>
      </c>
      <c r="AK448" s="171"/>
      <c r="AL448" s="171">
        <f t="shared" si="306"/>
        <v>100</v>
      </c>
      <c r="AM448" s="171">
        <f t="shared" si="306"/>
        <v>100</v>
      </c>
      <c r="AN448" s="90"/>
      <c r="AO448" s="193"/>
      <c r="AP448" s="193" t="e">
        <f t="shared" ca="1" si="312"/>
        <v>#NAME?</v>
      </c>
      <c r="AQ448" s="200">
        <f>AQ449</f>
        <v>1500</v>
      </c>
      <c r="AR448" s="204"/>
      <c r="AS448" s="204">
        <f t="shared" si="314"/>
        <v>100</v>
      </c>
      <c r="AT448" s="204"/>
      <c r="AU448" s="204">
        <f t="shared" si="315"/>
        <v>30</v>
      </c>
      <c r="AV448" s="204"/>
    </row>
    <row r="449" spans="1:48" ht="12" customHeight="1">
      <c r="A449" s="53"/>
      <c r="B449" s="53"/>
      <c r="C449" s="53"/>
      <c r="D449" s="53"/>
      <c r="E449" s="53"/>
      <c r="F449" s="53"/>
      <c r="G449" s="53"/>
      <c r="H449" s="1" t="s">
        <v>411</v>
      </c>
      <c r="I449" s="345">
        <v>133</v>
      </c>
      <c r="J449" s="229">
        <v>3831</v>
      </c>
      <c r="K449" s="18" t="s">
        <v>412</v>
      </c>
      <c r="L449" s="130">
        <v>87280</v>
      </c>
      <c r="M449" s="130">
        <f>87280/7.5345</f>
        <v>11584.046718428561</v>
      </c>
      <c r="N449" s="131">
        <v>7673</v>
      </c>
      <c r="O449" s="131">
        <f>N449/7.5345</f>
        <v>1018.3821089654257</v>
      </c>
      <c r="P449" s="132">
        <v>4000</v>
      </c>
      <c r="Q449" s="163">
        <v>12600</v>
      </c>
      <c r="R449" s="159">
        <v>0</v>
      </c>
      <c r="S449" s="165" t="e">
        <f ca="1">__xlfn.XLOOKUP(H449,[1]Izvršenje_proračuna_po_pozicija!$B$2:$B$153,[1]Izvršenje_proračuna_po_pozicija!$E$2:$E$153,0)</f>
        <v>#NAME?</v>
      </c>
      <c r="T449" s="165"/>
      <c r="U449" s="165"/>
      <c r="V449" s="200">
        <v>5000</v>
      </c>
      <c r="W449" s="200">
        <v>5000</v>
      </c>
      <c r="X449" s="164">
        <v>5000</v>
      </c>
      <c r="Y449" s="378">
        <v>5000</v>
      </c>
      <c r="Z449" s="378"/>
      <c r="AA449" s="370" t="e">
        <f t="shared" ca="1" si="313"/>
        <v>#NAME?</v>
      </c>
      <c r="AB449" s="183"/>
      <c r="AC449" s="178">
        <v>4000</v>
      </c>
      <c r="AD449" s="178">
        <v>4000</v>
      </c>
      <c r="AE449" s="178">
        <f>O449/M449*100</f>
        <v>8.7912465627864353</v>
      </c>
      <c r="AF449" s="178"/>
      <c r="AG449" s="178"/>
      <c r="AH449" s="178"/>
      <c r="AI449" s="183"/>
      <c r="AJ449" s="378">
        <v>5000</v>
      </c>
      <c r="AK449" s="171"/>
      <c r="AL449" s="171">
        <f t="shared" si="306"/>
        <v>100</v>
      </c>
      <c r="AM449" s="171">
        <f t="shared" si="306"/>
        <v>100</v>
      </c>
      <c r="AN449" s="165"/>
      <c r="AO449" s="193"/>
      <c r="AP449" s="193" t="e">
        <f t="shared" ca="1" si="312"/>
        <v>#NAME?</v>
      </c>
      <c r="AQ449" s="200">
        <v>1500</v>
      </c>
      <c r="AR449" s="204"/>
      <c r="AS449" s="204">
        <f t="shared" si="314"/>
        <v>100</v>
      </c>
      <c r="AT449" s="204"/>
      <c r="AU449" s="204">
        <f t="shared" si="315"/>
        <v>30</v>
      </c>
      <c r="AV449" s="204"/>
    </row>
    <row r="450" spans="1:48" ht="12" customHeight="1">
      <c r="A450" s="42"/>
      <c r="B450" s="42"/>
      <c r="C450" s="42"/>
      <c r="D450" s="42"/>
      <c r="E450" s="42"/>
      <c r="F450" s="42"/>
      <c r="G450" s="42"/>
      <c r="H450" s="308"/>
      <c r="I450" s="14"/>
      <c r="J450" s="2"/>
      <c r="K450" s="84"/>
      <c r="L450" s="85"/>
      <c r="M450" s="85"/>
      <c r="N450" s="86"/>
      <c r="O450" s="86"/>
      <c r="P450" s="87"/>
      <c r="Q450" s="87"/>
      <c r="R450" s="160"/>
      <c r="S450" s="165" t="e">
        <f ca="1">__xlfn.XLOOKUP(H450,[1]Izvršenje_proračuna_po_pozicija!$B$2:$B$153,[1]Izvršenje_proračuna_po_pozicija!$E$2:$E$153,0)</f>
        <v>#NAME?</v>
      </c>
      <c r="T450" s="165"/>
      <c r="U450" s="165"/>
      <c r="V450" s="200"/>
      <c r="W450" s="200"/>
      <c r="X450" s="361"/>
      <c r="Y450" s="373"/>
      <c r="Z450" s="373"/>
      <c r="AA450" s="370" t="e">
        <f t="shared" ca="1" si="313"/>
        <v>#NAME?</v>
      </c>
      <c r="AB450" s="181"/>
      <c r="AC450" s="182"/>
      <c r="AD450" s="182"/>
      <c r="AE450" s="178"/>
      <c r="AF450" s="178"/>
      <c r="AG450" s="178"/>
      <c r="AH450" s="178"/>
      <c r="AI450" s="181"/>
      <c r="AJ450" s="373"/>
      <c r="AK450" s="171"/>
      <c r="AL450" s="171"/>
      <c r="AM450" s="171"/>
      <c r="AN450" s="161"/>
      <c r="AO450" s="193"/>
      <c r="AP450" s="193" t="e">
        <f t="shared" ca="1" si="312"/>
        <v>#NAME?</v>
      </c>
      <c r="AQ450" s="200"/>
      <c r="AR450" s="204"/>
      <c r="AS450" s="204"/>
      <c r="AT450" s="204"/>
      <c r="AU450" s="204"/>
      <c r="AV450" s="204"/>
    </row>
    <row r="451" spans="1:48" ht="12" customHeight="1">
      <c r="A451" s="62"/>
      <c r="B451" s="62"/>
      <c r="C451" s="62"/>
      <c r="D451" s="62"/>
      <c r="E451" s="62"/>
      <c r="F451" s="62"/>
      <c r="G451" s="62"/>
      <c r="H451" s="304"/>
      <c r="I451" s="346"/>
      <c r="J451" s="303">
        <v>385</v>
      </c>
      <c r="K451" s="19" t="s">
        <v>413</v>
      </c>
      <c r="L451" s="112">
        <f t="shared" ref="L451:Z451" si="325">L452</f>
        <v>0</v>
      </c>
      <c r="M451" s="112">
        <f t="shared" si="325"/>
        <v>0</v>
      </c>
      <c r="N451" s="113">
        <f t="shared" si="325"/>
        <v>0</v>
      </c>
      <c r="O451" s="113">
        <f t="shared" si="325"/>
        <v>0</v>
      </c>
      <c r="P451" s="114">
        <f t="shared" si="325"/>
        <v>14040</v>
      </c>
      <c r="Q451" s="114">
        <f t="shared" si="325"/>
        <v>6440</v>
      </c>
      <c r="R451" s="88">
        <f t="shared" si="325"/>
        <v>0</v>
      </c>
      <c r="S451" s="90" t="e">
        <f t="shared" ca="1" si="325"/>
        <v>#NAME?</v>
      </c>
      <c r="T451" s="90"/>
      <c r="U451" s="90"/>
      <c r="V451" s="200">
        <f>V452</f>
        <v>4390</v>
      </c>
      <c r="W451" s="200">
        <f t="shared" si="325"/>
        <v>4390</v>
      </c>
      <c r="X451" s="88">
        <f t="shared" si="325"/>
        <v>5660</v>
      </c>
      <c r="Y451" s="171">
        <f t="shared" si="325"/>
        <v>1748</v>
      </c>
      <c r="Z451" s="171">
        <f t="shared" si="325"/>
        <v>0</v>
      </c>
      <c r="AA451" s="370" t="e">
        <f t="shared" ca="1" si="313"/>
        <v>#NAME?</v>
      </c>
      <c r="AB451" s="171"/>
      <c r="AC451" s="172">
        <f>AC452</f>
        <v>14450</v>
      </c>
      <c r="AD451" s="172">
        <f>AD452</f>
        <v>14450</v>
      </c>
      <c r="AE451" s="178"/>
      <c r="AF451" s="178"/>
      <c r="AG451" s="178"/>
      <c r="AH451" s="178"/>
      <c r="AI451" s="171"/>
      <c r="AJ451" s="171">
        <v>1748</v>
      </c>
      <c r="AK451" s="171"/>
      <c r="AL451" s="171">
        <f t="shared" si="306"/>
        <v>128.92938496583145</v>
      </c>
      <c r="AM451" s="171">
        <f t="shared" si="306"/>
        <v>30.883392226148409</v>
      </c>
      <c r="AN451" s="90"/>
      <c r="AO451" s="193"/>
      <c r="AP451" s="193" t="e">
        <f t="shared" ca="1" si="312"/>
        <v>#NAME?</v>
      </c>
      <c r="AQ451" s="200">
        <f>AQ452</f>
        <v>0</v>
      </c>
      <c r="AR451" s="204"/>
      <c r="AS451" s="204">
        <f t="shared" si="314"/>
        <v>100</v>
      </c>
      <c r="AT451" s="204"/>
      <c r="AU451" s="204">
        <f t="shared" si="315"/>
        <v>0</v>
      </c>
      <c r="AV451" s="204"/>
    </row>
    <row r="452" spans="1:48" ht="12" customHeight="1">
      <c r="A452" s="53"/>
      <c r="B452" s="53"/>
      <c r="C452" s="53"/>
      <c r="D452" s="53"/>
      <c r="E452" s="53"/>
      <c r="F452" s="53"/>
      <c r="G452" s="53"/>
      <c r="H452" s="1">
        <v>168</v>
      </c>
      <c r="I452" s="345">
        <v>133</v>
      </c>
      <c r="J452" s="229">
        <v>3851</v>
      </c>
      <c r="K452" s="18" t="s">
        <v>414</v>
      </c>
      <c r="L452" s="130">
        <v>0</v>
      </c>
      <c r="M452" s="130">
        <v>0</v>
      </c>
      <c r="N452" s="131">
        <v>0</v>
      </c>
      <c r="O452" s="131">
        <f>N452/7.5345</f>
        <v>0</v>
      </c>
      <c r="P452" s="132">
        <v>14040</v>
      </c>
      <c r="Q452" s="132">
        <v>6440</v>
      </c>
      <c r="R452" s="159">
        <v>0</v>
      </c>
      <c r="S452" s="165" t="e">
        <f ca="1">__xlfn.XLOOKUP(H452,[1]Izvršenje_proračuna_po_pozicija!$B$2:$B$153,[1]Izvršenje_proračuna_po_pozicija!$E$2:$E$153,0)</f>
        <v>#NAME?</v>
      </c>
      <c r="T452" s="165"/>
      <c r="U452" s="165"/>
      <c r="V452" s="200">
        <v>4390</v>
      </c>
      <c r="W452" s="200">
        <v>4390</v>
      </c>
      <c r="X452" s="164">
        <v>5660</v>
      </c>
      <c r="Y452" s="378">
        <v>1748</v>
      </c>
      <c r="Z452" s="378"/>
      <c r="AA452" s="370" t="e">
        <f t="shared" ca="1" si="313"/>
        <v>#NAME?</v>
      </c>
      <c r="AB452" s="183"/>
      <c r="AC452" s="178">
        <v>14450</v>
      </c>
      <c r="AD452" s="178">
        <v>14450</v>
      </c>
      <c r="AE452" s="178"/>
      <c r="AF452" s="178"/>
      <c r="AG452" s="178"/>
      <c r="AH452" s="178"/>
      <c r="AI452" s="183"/>
      <c r="AJ452" s="378">
        <v>1748</v>
      </c>
      <c r="AK452" s="171"/>
      <c r="AL452" s="171">
        <f t="shared" si="306"/>
        <v>128.92938496583145</v>
      </c>
      <c r="AM452" s="171">
        <f t="shared" si="306"/>
        <v>30.883392226148409</v>
      </c>
      <c r="AN452" s="165"/>
      <c r="AO452" s="193"/>
      <c r="AP452" s="193" t="e">
        <f t="shared" ca="1" si="312"/>
        <v>#NAME?</v>
      </c>
      <c r="AQ452" s="200"/>
      <c r="AR452" s="204"/>
      <c r="AS452" s="204">
        <f t="shared" si="314"/>
        <v>100</v>
      </c>
      <c r="AT452" s="204"/>
      <c r="AU452" s="204">
        <f t="shared" si="315"/>
        <v>0</v>
      </c>
      <c r="AV452" s="204"/>
    </row>
    <row r="453" spans="1:48" ht="12" customHeight="1">
      <c r="A453" s="42"/>
      <c r="B453" s="42"/>
      <c r="C453" s="42"/>
      <c r="D453" s="42"/>
      <c r="E453" s="42"/>
      <c r="F453" s="42"/>
      <c r="G453" s="42"/>
      <c r="H453" s="308"/>
      <c r="I453" s="14"/>
      <c r="J453" s="2"/>
      <c r="K453" s="281"/>
      <c r="L453" s="85"/>
      <c r="M453" s="85"/>
      <c r="N453" s="86"/>
      <c r="O453" s="86"/>
      <c r="P453" s="87"/>
      <c r="Q453" s="87"/>
      <c r="R453" s="160"/>
      <c r="S453" s="165" t="e">
        <f ca="1">__xlfn.XLOOKUP(H453,[1]Izvršenje_proračuna_po_pozicija!$B$2:$B$153,[1]Izvršenje_proračuna_po_pozicija!$E$2:$E$153,0)</f>
        <v>#NAME?</v>
      </c>
      <c r="T453" s="165"/>
      <c r="U453" s="165"/>
      <c r="V453" s="200"/>
      <c r="W453" s="200"/>
      <c r="X453" s="361"/>
      <c r="Y453" s="373"/>
      <c r="Z453" s="373"/>
      <c r="AA453" s="370" t="e">
        <f t="shared" ca="1" si="313"/>
        <v>#NAME?</v>
      </c>
      <c r="AB453" s="181"/>
      <c r="AC453" s="182"/>
      <c r="AD453" s="182"/>
      <c r="AE453" s="178"/>
      <c r="AF453" s="178"/>
      <c r="AG453" s="178"/>
      <c r="AH453" s="178"/>
      <c r="AI453" s="181"/>
      <c r="AJ453" s="373"/>
      <c r="AK453" s="171"/>
      <c r="AL453" s="171"/>
      <c r="AM453" s="171"/>
      <c r="AN453" s="161"/>
      <c r="AO453" s="193"/>
      <c r="AP453" s="193" t="e">
        <f t="shared" ca="1" si="312"/>
        <v>#NAME?</v>
      </c>
      <c r="AQ453" s="200"/>
      <c r="AR453" s="204"/>
      <c r="AS453" s="204"/>
      <c r="AT453" s="204"/>
      <c r="AU453" s="204"/>
      <c r="AV453" s="204"/>
    </row>
    <row r="454" spans="1:48" ht="12" customHeight="1">
      <c r="A454" s="433" t="s">
        <v>415</v>
      </c>
      <c r="B454" s="434"/>
      <c r="C454" s="434"/>
      <c r="D454" s="434"/>
      <c r="E454" s="434"/>
      <c r="F454" s="434"/>
      <c r="G454" s="434"/>
      <c r="H454" s="435"/>
      <c r="I454" s="440" t="s">
        <v>416</v>
      </c>
      <c r="J454" s="441"/>
      <c r="K454" s="442"/>
      <c r="L454" s="335">
        <f t="shared" ref="L454:S454" si="326">L456</f>
        <v>98912</v>
      </c>
      <c r="M454" s="335">
        <f t="shared" si="326"/>
        <v>13127.878425907493</v>
      </c>
      <c r="N454" s="336">
        <f t="shared" si="326"/>
        <v>43195</v>
      </c>
      <c r="O454" s="336">
        <f t="shared" si="326"/>
        <v>5732.9617094697714</v>
      </c>
      <c r="P454" s="337">
        <f t="shared" si="326"/>
        <v>25000</v>
      </c>
      <c r="Q454" s="337">
        <f t="shared" si="326"/>
        <v>17000</v>
      </c>
      <c r="R454" s="359">
        <f t="shared" si="326"/>
        <v>15763</v>
      </c>
      <c r="S454" s="360" t="e">
        <f t="shared" ca="1" si="326"/>
        <v>#NAME?</v>
      </c>
      <c r="T454" s="360"/>
      <c r="U454" s="360"/>
      <c r="V454" s="200">
        <f>V456</f>
        <v>51000</v>
      </c>
      <c r="W454" s="200">
        <f>W456</f>
        <v>51000</v>
      </c>
      <c r="X454" s="359">
        <f>X456</f>
        <v>28000</v>
      </c>
      <c r="Y454" s="371">
        <f>Y456</f>
        <v>31000</v>
      </c>
      <c r="Z454" s="371">
        <f>Z456</f>
        <v>0</v>
      </c>
      <c r="AA454" s="370" t="e">
        <f t="shared" ca="1" si="313"/>
        <v>#NAME?</v>
      </c>
      <c r="AB454" s="371"/>
      <c r="AC454" s="372">
        <f>AC456</f>
        <v>14000</v>
      </c>
      <c r="AD454" s="372">
        <f>AD456</f>
        <v>14000</v>
      </c>
      <c r="AE454" s="178">
        <f>O454/M454*100</f>
        <v>43.670131025558064</v>
      </c>
      <c r="AF454" s="178">
        <f>P454/O454*100</f>
        <v>436.07477717328402</v>
      </c>
      <c r="AG454" s="178">
        <f>Q454/P454*100</f>
        <v>68</v>
      </c>
      <c r="AH454" s="178">
        <f>AC454/Q454*100</f>
        <v>82.35294117647058</v>
      </c>
      <c r="AI454" s="371"/>
      <c r="AJ454" s="371">
        <v>31000</v>
      </c>
      <c r="AK454" s="171">
        <f t="shared" si="305"/>
        <v>323.54247287952802</v>
      </c>
      <c r="AL454" s="171">
        <f t="shared" si="306"/>
        <v>54.901960784313729</v>
      </c>
      <c r="AM454" s="171">
        <f t="shared" si="306"/>
        <v>110.71428571428572</v>
      </c>
      <c r="AN454" s="360"/>
      <c r="AO454" s="193"/>
      <c r="AP454" s="193" t="e">
        <f t="shared" ca="1" si="312"/>
        <v>#NAME?</v>
      </c>
      <c r="AQ454" s="200">
        <f>AQ456</f>
        <v>42459.759999999995</v>
      </c>
      <c r="AR454" s="204">
        <f>V454/R454*100</f>
        <v>323.54247287952802</v>
      </c>
      <c r="AS454" s="204">
        <f t="shared" si="314"/>
        <v>100</v>
      </c>
      <c r="AT454" s="204">
        <f>W454/R454*100</f>
        <v>323.54247287952802</v>
      </c>
      <c r="AU454" s="204">
        <f t="shared" si="315"/>
        <v>83.254431372549007</v>
      </c>
      <c r="AV454" s="204">
        <f>AQ454/R454*100</f>
        <v>269.36344604453461</v>
      </c>
    </row>
    <row r="455" spans="1:48" ht="12" customHeight="1">
      <c r="A455" s="69"/>
      <c r="B455" s="69"/>
      <c r="C455" s="69"/>
      <c r="D455" s="69"/>
      <c r="E455" s="69"/>
      <c r="F455" s="69"/>
      <c r="G455" s="69"/>
      <c r="H455" s="436"/>
      <c r="I455" s="3"/>
      <c r="J455" s="7"/>
      <c r="K455" s="7"/>
      <c r="L455" s="85"/>
      <c r="M455" s="85"/>
      <c r="N455" s="86"/>
      <c r="O455" s="86"/>
      <c r="P455" s="87"/>
      <c r="Q455" s="87"/>
      <c r="R455" s="160"/>
      <c r="S455" s="165" t="e">
        <f ca="1">__xlfn.XLOOKUP(H455,[1]Izvršenje_proračuna_po_pozicija!$B$2:$B$153,[1]Izvršenje_proračuna_po_pozicija!$E$2:$E$153,0)</f>
        <v>#NAME?</v>
      </c>
      <c r="T455" s="165"/>
      <c r="U455" s="165"/>
      <c r="V455" s="200"/>
      <c r="W455" s="200"/>
      <c r="X455" s="361"/>
      <c r="Y455" s="373"/>
      <c r="Z455" s="373"/>
      <c r="AA455" s="370" t="e">
        <f t="shared" ca="1" si="313"/>
        <v>#NAME?</v>
      </c>
      <c r="AB455" s="181"/>
      <c r="AC455" s="182"/>
      <c r="AD455" s="182"/>
      <c r="AE455" s="178"/>
      <c r="AF455" s="178"/>
      <c r="AG455" s="178"/>
      <c r="AH455" s="178"/>
      <c r="AI455" s="181"/>
      <c r="AJ455" s="373"/>
      <c r="AK455" s="171"/>
      <c r="AL455" s="171"/>
      <c r="AM455" s="171"/>
      <c r="AN455" s="161"/>
      <c r="AO455" s="193"/>
      <c r="AP455" s="193" t="e">
        <f t="shared" ca="1" si="312"/>
        <v>#NAME?</v>
      </c>
      <c r="AQ455" s="200"/>
      <c r="AR455" s="204"/>
      <c r="AS455" s="204"/>
      <c r="AT455" s="204"/>
      <c r="AU455" s="204"/>
      <c r="AV455" s="204"/>
    </row>
    <row r="456" spans="1:48" ht="12" customHeight="1">
      <c r="A456" s="24"/>
      <c r="B456" s="24"/>
      <c r="C456" s="24"/>
      <c r="D456" s="24"/>
      <c r="E456" s="24"/>
      <c r="F456" s="24"/>
      <c r="G456" s="24"/>
      <c r="H456" s="393"/>
      <c r="I456" s="404"/>
      <c r="J456" s="281">
        <v>4</v>
      </c>
      <c r="K456" s="2" t="s">
        <v>417</v>
      </c>
      <c r="L456" s="112">
        <f t="shared" ref="L456:Z456" si="327">L457</f>
        <v>98912</v>
      </c>
      <c r="M456" s="112">
        <f t="shared" si="327"/>
        <v>13127.878425907493</v>
      </c>
      <c r="N456" s="113">
        <f t="shared" si="327"/>
        <v>43195</v>
      </c>
      <c r="O456" s="113">
        <f t="shared" si="327"/>
        <v>5732.9617094697714</v>
      </c>
      <c r="P456" s="114">
        <f t="shared" si="327"/>
        <v>25000</v>
      </c>
      <c r="Q456" s="114">
        <f t="shared" si="327"/>
        <v>17000</v>
      </c>
      <c r="R456" s="88">
        <f t="shared" si="327"/>
        <v>15763</v>
      </c>
      <c r="S456" s="90" t="e">
        <f t="shared" ca="1" si="327"/>
        <v>#NAME?</v>
      </c>
      <c r="T456" s="90"/>
      <c r="U456" s="90"/>
      <c r="V456" s="200">
        <f>V457</f>
        <v>51000</v>
      </c>
      <c r="W456" s="200">
        <f t="shared" si="327"/>
        <v>51000</v>
      </c>
      <c r="X456" s="88">
        <f t="shared" si="327"/>
        <v>28000</v>
      </c>
      <c r="Y456" s="171">
        <f t="shared" si="327"/>
        <v>31000</v>
      </c>
      <c r="Z456" s="171">
        <f t="shared" si="327"/>
        <v>0</v>
      </c>
      <c r="AA456" s="370" t="e">
        <f t="shared" ca="1" si="313"/>
        <v>#NAME?</v>
      </c>
      <c r="AB456" s="171"/>
      <c r="AC456" s="172">
        <f>AC457</f>
        <v>14000</v>
      </c>
      <c r="AD456" s="172">
        <f>AD457</f>
        <v>14000</v>
      </c>
      <c r="AE456" s="178">
        <f>O456/M456*100</f>
        <v>43.670131025558064</v>
      </c>
      <c r="AF456" s="178">
        <f t="shared" ref="AF456:AG459" si="328">P456/O456*100</f>
        <v>436.07477717328402</v>
      </c>
      <c r="AG456" s="178">
        <f t="shared" si="328"/>
        <v>68</v>
      </c>
      <c r="AH456" s="178">
        <f>AC456/Q456*100</f>
        <v>82.35294117647058</v>
      </c>
      <c r="AI456" s="171"/>
      <c r="AJ456" s="171">
        <v>31000</v>
      </c>
      <c r="AK456" s="171">
        <f t="shared" si="305"/>
        <v>323.54247287952802</v>
      </c>
      <c r="AL456" s="171">
        <f t="shared" si="306"/>
        <v>54.901960784313729</v>
      </c>
      <c r="AM456" s="171">
        <f t="shared" si="306"/>
        <v>110.71428571428572</v>
      </c>
      <c r="AN456" s="90"/>
      <c r="AO456" s="193"/>
      <c r="AP456" s="193" t="e">
        <f t="shared" ca="1" si="312"/>
        <v>#NAME?</v>
      </c>
      <c r="AQ456" s="200">
        <f>AQ457</f>
        <v>42459.759999999995</v>
      </c>
      <c r="AR456" s="204">
        <f>V456/R456*100</f>
        <v>323.54247287952802</v>
      </c>
      <c r="AS456" s="204">
        <f t="shared" si="314"/>
        <v>100</v>
      </c>
      <c r="AT456" s="204">
        <f>W456/R456*100</f>
        <v>323.54247287952802</v>
      </c>
      <c r="AU456" s="204">
        <f t="shared" si="315"/>
        <v>83.254431372549007</v>
      </c>
      <c r="AV456" s="204">
        <f>AQ456/R456*100</f>
        <v>269.36344604453461</v>
      </c>
    </row>
    <row r="457" spans="1:48" ht="12" customHeight="1">
      <c r="A457" s="301"/>
      <c r="B457" s="301"/>
      <c r="C457" s="301"/>
      <c r="D457" s="301"/>
      <c r="E457" s="301"/>
      <c r="F457" s="301"/>
      <c r="G457" s="301"/>
      <c r="H457" s="307"/>
      <c r="I457" s="405"/>
      <c r="J457" s="302">
        <v>42</v>
      </c>
      <c r="K457" s="343" t="s">
        <v>418</v>
      </c>
      <c r="L457" s="112">
        <f t="shared" ref="L457:S457" si="329">L458+L465</f>
        <v>98912</v>
      </c>
      <c r="M457" s="112">
        <f t="shared" si="329"/>
        <v>13127.878425907493</v>
      </c>
      <c r="N457" s="113">
        <f t="shared" si="329"/>
        <v>43195</v>
      </c>
      <c r="O457" s="113">
        <f t="shared" si="329"/>
        <v>5732.9617094697714</v>
      </c>
      <c r="P457" s="114">
        <f t="shared" si="329"/>
        <v>25000</v>
      </c>
      <c r="Q457" s="114">
        <f t="shared" si="329"/>
        <v>17000</v>
      </c>
      <c r="R457" s="88">
        <f t="shared" si="329"/>
        <v>15763</v>
      </c>
      <c r="S457" s="90" t="e">
        <f t="shared" ca="1" si="329"/>
        <v>#NAME?</v>
      </c>
      <c r="T457" s="90"/>
      <c r="U457" s="90"/>
      <c r="V457" s="200">
        <f>V458+V465</f>
        <v>51000</v>
      </c>
      <c r="W457" s="200">
        <f>W458+W465</f>
        <v>51000</v>
      </c>
      <c r="X457" s="88">
        <f>X458+X465</f>
        <v>28000</v>
      </c>
      <c r="Y457" s="171">
        <f>Y458+Y465</f>
        <v>31000</v>
      </c>
      <c r="Z457" s="171">
        <f>Z458+Z465</f>
        <v>0</v>
      </c>
      <c r="AA457" s="370" t="e">
        <f t="shared" ca="1" si="313"/>
        <v>#NAME?</v>
      </c>
      <c r="AB457" s="171"/>
      <c r="AC457" s="172">
        <f>AC458+AC465</f>
        <v>14000</v>
      </c>
      <c r="AD457" s="172">
        <f>AD458+AD465</f>
        <v>14000</v>
      </c>
      <c r="AE457" s="178">
        <f>O457/M457*100</f>
        <v>43.670131025558064</v>
      </c>
      <c r="AF457" s="178">
        <f t="shared" si="328"/>
        <v>436.07477717328402</v>
      </c>
      <c r="AG457" s="178">
        <f t="shared" si="328"/>
        <v>68</v>
      </c>
      <c r="AH457" s="178">
        <f>AC457/Q457*100</f>
        <v>82.35294117647058</v>
      </c>
      <c r="AI457" s="171"/>
      <c r="AJ457" s="171">
        <v>31000</v>
      </c>
      <c r="AK457" s="171">
        <f t="shared" si="305"/>
        <v>323.54247287952802</v>
      </c>
      <c r="AL457" s="171">
        <f t="shared" si="306"/>
        <v>54.901960784313729</v>
      </c>
      <c r="AM457" s="171">
        <f t="shared" si="306"/>
        <v>110.71428571428572</v>
      </c>
      <c r="AN457" s="90"/>
      <c r="AO457" s="193"/>
      <c r="AP457" s="193" t="e">
        <f t="shared" ca="1" si="312"/>
        <v>#NAME?</v>
      </c>
      <c r="AQ457" s="200">
        <f>AQ458+AQ465</f>
        <v>42459.759999999995</v>
      </c>
      <c r="AR457" s="204">
        <f>V457/R457*100</f>
        <v>323.54247287952802</v>
      </c>
      <c r="AS457" s="204">
        <f t="shared" si="314"/>
        <v>100</v>
      </c>
      <c r="AT457" s="204">
        <f>W457/R457*100</f>
        <v>323.54247287952802</v>
      </c>
      <c r="AU457" s="204">
        <f t="shared" si="315"/>
        <v>83.254431372549007</v>
      </c>
      <c r="AV457" s="204">
        <f>AQ457/R457*100</f>
        <v>269.36344604453461</v>
      </c>
    </row>
    <row r="458" spans="1:48" ht="12" customHeight="1">
      <c r="A458" s="62"/>
      <c r="B458" s="62"/>
      <c r="C458" s="62"/>
      <c r="D458" s="62"/>
      <c r="E458" s="62"/>
      <c r="F458" s="62"/>
      <c r="G458" s="62"/>
      <c r="H458" s="304"/>
      <c r="I458" s="416"/>
      <c r="J458" s="303">
        <v>422</v>
      </c>
      <c r="K458" s="19" t="s">
        <v>419</v>
      </c>
      <c r="L458" s="112">
        <f t="shared" ref="L458:S458" si="330">L459+L460+L461+L463</f>
        <v>42662</v>
      </c>
      <c r="M458" s="112">
        <f t="shared" si="330"/>
        <v>5662.2204525847765</v>
      </c>
      <c r="N458" s="113">
        <f t="shared" si="330"/>
        <v>18870</v>
      </c>
      <c r="O458" s="113">
        <f t="shared" si="330"/>
        <v>2504.4793947839935</v>
      </c>
      <c r="P458" s="114">
        <f t="shared" si="330"/>
        <v>15000</v>
      </c>
      <c r="Q458" s="114">
        <f t="shared" si="330"/>
        <v>9000</v>
      </c>
      <c r="R458" s="88">
        <f t="shared" si="330"/>
        <v>8652</v>
      </c>
      <c r="S458" s="90" t="e">
        <f t="shared" ca="1" si="330"/>
        <v>#NAME?</v>
      </c>
      <c r="T458" s="90"/>
      <c r="U458" s="90"/>
      <c r="V458" s="200">
        <f>V459+V460+V461+V463</f>
        <v>49000</v>
      </c>
      <c r="W458" s="200">
        <f>W459+W460+W461+W463</f>
        <v>49000</v>
      </c>
      <c r="X458" s="88">
        <f>X459+X460+X461+X463</f>
        <v>24000</v>
      </c>
      <c r="Y458" s="171">
        <f>Y459+Y460+Y461+Y463</f>
        <v>27000</v>
      </c>
      <c r="Z458" s="171">
        <f>Z459+Z460+Z461+Z463</f>
        <v>0</v>
      </c>
      <c r="AA458" s="370" t="e">
        <f t="shared" ca="1" si="313"/>
        <v>#NAME?</v>
      </c>
      <c r="AB458" s="171"/>
      <c r="AC458" s="172">
        <f>AC459+AC460+AC461+AC463</f>
        <v>9000</v>
      </c>
      <c r="AD458" s="172">
        <f>AD459+AD460+AD461+AD463</f>
        <v>9000</v>
      </c>
      <c r="AE458" s="178">
        <f>O458/M458*100</f>
        <v>44.231400309408841</v>
      </c>
      <c r="AF458" s="178">
        <f t="shared" si="328"/>
        <v>598.92686804451523</v>
      </c>
      <c r="AG458" s="178">
        <f t="shared" si="328"/>
        <v>60</v>
      </c>
      <c r="AH458" s="178">
        <f>AC458/Q458*100</f>
        <v>100</v>
      </c>
      <c r="AI458" s="171"/>
      <c r="AJ458" s="171">
        <v>27000</v>
      </c>
      <c r="AK458" s="171">
        <f t="shared" si="305"/>
        <v>566.34304207119737</v>
      </c>
      <c r="AL458" s="171">
        <f t="shared" si="306"/>
        <v>48.979591836734691</v>
      </c>
      <c r="AM458" s="171">
        <f t="shared" si="306"/>
        <v>112.5</v>
      </c>
      <c r="AN458" s="90"/>
      <c r="AO458" s="193"/>
      <c r="AP458" s="193" t="e">
        <f t="shared" ca="1" si="312"/>
        <v>#NAME?</v>
      </c>
      <c r="AQ458" s="200">
        <f>AQ459+AQ460+AQ461+AQ463</f>
        <v>42459.759999999995</v>
      </c>
      <c r="AR458" s="204">
        <f>V458/R458*100</f>
        <v>566.34304207119737</v>
      </c>
      <c r="AS458" s="204">
        <f t="shared" si="314"/>
        <v>100</v>
      </c>
      <c r="AT458" s="204">
        <f>W458/R458*100</f>
        <v>566.34304207119737</v>
      </c>
      <c r="AU458" s="204">
        <f t="shared" si="315"/>
        <v>86.65257142857142</v>
      </c>
      <c r="AV458" s="204">
        <f>AQ458/R458*100</f>
        <v>490.75080906148861</v>
      </c>
    </row>
    <row r="459" spans="1:48" ht="12" customHeight="1">
      <c r="A459" s="53"/>
      <c r="B459" s="53"/>
      <c r="C459" s="53"/>
      <c r="D459" s="53"/>
      <c r="E459" s="53"/>
      <c r="F459" s="53"/>
      <c r="G459" s="53"/>
      <c r="H459" s="1">
        <v>28</v>
      </c>
      <c r="I459" s="345">
        <v>111</v>
      </c>
      <c r="J459" s="229">
        <v>4221</v>
      </c>
      <c r="K459" s="18" t="s">
        <v>303</v>
      </c>
      <c r="L459" s="130">
        <v>32762</v>
      </c>
      <c r="M459" s="130">
        <f>32762/7.5345</f>
        <v>4348.2646492799786</v>
      </c>
      <c r="N459" s="131">
        <v>13670</v>
      </c>
      <c r="O459" s="131">
        <f>N459/7.5345</f>
        <v>1814.320791027938</v>
      </c>
      <c r="P459" s="132">
        <v>7000</v>
      </c>
      <c r="Q459" s="132">
        <v>7000</v>
      </c>
      <c r="R459" s="159">
        <v>7689</v>
      </c>
      <c r="S459" s="165">
        <v>4297</v>
      </c>
      <c r="T459" s="165"/>
      <c r="U459" s="165"/>
      <c r="V459" s="200">
        <v>7000</v>
      </c>
      <c r="W459" s="200">
        <v>7000</v>
      </c>
      <c r="X459" s="164">
        <v>8000</v>
      </c>
      <c r="Y459" s="378">
        <v>10000</v>
      </c>
      <c r="Z459" s="378"/>
      <c r="AA459" s="370" t="e">
        <f t="shared" ca="1" si="313"/>
        <v>#NAME?</v>
      </c>
      <c r="AB459" s="183"/>
      <c r="AC459" s="178">
        <v>5000</v>
      </c>
      <c r="AD459" s="178">
        <v>5000</v>
      </c>
      <c r="AE459" s="178">
        <f>O459/M459*100</f>
        <v>41.725169403577311</v>
      </c>
      <c r="AF459" s="178">
        <f t="shared" si="328"/>
        <v>385.81931236283833</v>
      </c>
      <c r="AG459" s="178">
        <f t="shared" si="328"/>
        <v>100</v>
      </c>
      <c r="AH459" s="178">
        <f>AC459/Q459*100</f>
        <v>71.428571428571431</v>
      </c>
      <c r="AI459" s="183"/>
      <c r="AJ459" s="378">
        <v>10000</v>
      </c>
      <c r="AK459" s="171">
        <f t="shared" si="305"/>
        <v>91.039146833138247</v>
      </c>
      <c r="AL459" s="171">
        <f t="shared" si="306"/>
        <v>114.28571428571428</v>
      </c>
      <c r="AM459" s="171">
        <f t="shared" si="306"/>
        <v>125</v>
      </c>
      <c r="AN459" s="165"/>
      <c r="AO459" s="193"/>
      <c r="AP459" s="193" t="e">
        <f t="shared" ca="1" si="312"/>
        <v>#NAME?</v>
      </c>
      <c r="AQ459" s="200">
        <v>4297</v>
      </c>
      <c r="AR459" s="204">
        <f>V459/R459*100</f>
        <v>91.039146833138247</v>
      </c>
      <c r="AS459" s="204">
        <f t="shared" si="314"/>
        <v>100</v>
      </c>
      <c r="AT459" s="204">
        <f>W459/R459*100</f>
        <v>91.039146833138247</v>
      </c>
      <c r="AU459" s="204">
        <f t="shared" si="315"/>
        <v>61.385714285714286</v>
      </c>
      <c r="AV459" s="204">
        <f>AQ459/R459*100</f>
        <v>55.885030563142145</v>
      </c>
    </row>
    <row r="460" spans="1:48" ht="12" customHeight="1">
      <c r="A460" s="53"/>
      <c r="B460" s="53"/>
      <c r="C460" s="53"/>
      <c r="D460" s="53"/>
      <c r="E460" s="53"/>
      <c r="F460" s="53"/>
      <c r="G460" s="53"/>
      <c r="H460" s="1">
        <v>29</v>
      </c>
      <c r="I460" s="345">
        <v>111</v>
      </c>
      <c r="J460" s="229">
        <v>4222</v>
      </c>
      <c r="K460" s="18" t="s">
        <v>304</v>
      </c>
      <c r="L460" s="130">
        <v>0</v>
      </c>
      <c r="M460" s="130">
        <v>0</v>
      </c>
      <c r="N460" s="131">
        <v>0</v>
      </c>
      <c r="O460" s="131">
        <f>N460/7.5345</f>
        <v>0</v>
      </c>
      <c r="P460" s="132">
        <v>0</v>
      </c>
      <c r="Q460" s="132">
        <v>0</v>
      </c>
      <c r="R460" s="159">
        <v>0</v>
      </c>
      <c r="S460" s="165" t="e">
        <f ca="1">__xlfn.XLOOKUP(H460,[1]Izvršenje_proračuna_po_pozicija!$B$2:$B$153,[1]Izvršenje_proračuna_po_pozicija!$E$2:$E$153,0)</f>
        <v>#NAME?</v>
      </c>
      <c r="T460" s="165"/>
      <c r="U460" s="165"/>
      <c r="V460" s="200"/>
      <c r="W460" s="200"/>
      <c r="X460" s="164"/>
      <c r="Y460" s="378"/>
      <c r="Z460" s="378"/>
      <c r="AA460" s="370" t="e">
        <f t="shared" ca="1" si="313"/>
        <v>#NAME?</v>
      </c>
      <c r="AB460" s="183"/>
      <c r="AC460" s="178">
        <v>0</v>
      </c>
      <c r="AD460" s="178">
        <v>0</v>
      </c>
      <c r="AE460" s="178"/>
      <c r="AF460" s="178"/>
      <c r="AG460" s="178"/>
      <c r="AH460" s="178"/>
      <c r="AI460" s="183"/>
      <c r="AJ460" s="378"/>
      <c r="AK460" s="171"/>
      <c r="AL460" s="171"/>
      <c r="AM460" s="171"/>
      <c r="AN460" s="165"/>
      <c r="AO460" s="193"/>
      <c r="AP460" s="193" t="e">
        <f t="shared" ca="1" si="312"/>
        <v>#NAME?</v>
      </c>
      <c r="AQ460" s="200">
        <v>1226</v>
      </c>
      <c r="AR460" s="204"/>
      <c r="AS460" s="204"/>
      <c r="AT460" s="204"/>
      <c r="AU460" s="204"/>
      <c r="AV460" s="204"/>
    </row>
    <row r="461" spans="1:48" ht="12" customHeight="1">
      <c r="A461" s="53"/>
      <c r="B461" s="53"/>
      <c r="C461" s="53"/>
      <c r="D461" s="53"/>
      <c r="E461" s="53"/>
      <c r="F461" s="53"/>
      <c r="G461" s="53"/>
      <c r="H461" s="1">
        <v>30</v>
      </c>
      <c r="I461" s="345">
        <v>111</v>
      </c>
      <c r="J461" s="229">
        <v>4223</v>
      </c>
      <c r="K461" s="18" t="s">
        <v>305</v>
      </c>
      <c r="L461" s="130">
        <v>9900</v>
      </c>
      <c r="M461" s="130">
        <f>9900/7.5345</f>
        <v>1313.9558033047979</v>
      </c>
      <c r="N461" s="131">
        <v>5200</v>
      </c>
      <c r="O461" s="131">
        <f>N461/7.5345</f>
        <v>690.15860375605541</v>
      </c>
      <c r="P461" s="132">
        <v>4000</v>
      </c>
      <c r="Q461" s="163">
        <v>0</v>
      </c>
      <c r="R461" s="159">
        <v>0</v>
      </c>
      <c r="S461" s="165">
        <v>17286</v>
      </c>
      <c r="T461" s="165"/>
      <c r="U461" s="165"/>
      <c r="V461" s="200">
        <v>22000</v>
      </c>
      <c r="W461" s="200">
        <v>22000</v>
      </c>
      <c r="X461" s="164">
        <v>6000</v>
      </c>
      <c r="Y461" s="378">
        <v>5000</v>
      </c>
      <c r="Z461" s="378"/>
      <c r="AA461" s="370" t="e">
        <f t="shared" ca="1" si="313"/>
        <v>#NAME?</v>
      </c>
      <c r="AB461" s="183"/>
      <c r="AC461" s="178"/>
      <c r="AD461" s="178"/>
      <c r="AE461" s="178">
        <f>O461/M461*100</f>
        <v>52.525252525252519</v>
      </c>
      <c r="AF461" s="178"/>
      <c r="AG461" s="178"/>
      <c r="AH461" s="178"/>
      <c r="AI461" s="183"/>
      <c r="AJ461" s="378">
        <v>5000</v>
      </c>
      <c r="AK461" s="171"/>
      <c r="AL461" s="171">
        <f t="shared" si="306"/>
        <v>27.27272727272727</v>
      </c>
      <c r="AM461" s="171">
        <f t="shared" si="306"/>
        <v>83.333333333333343</v>
      </c>
      <c r="AN461" s="165"/>
      <c r="AO461" s="193"/>
      <c r="AP461" s="193" t="e">
        <f t="shared" ca="1" si="312"/>
        <v>#NAME?</v>
      </c>
      <c r="AQ461" s="200">
        <v>17286.759999999998</v>
      </c>
      <c r="AR461" s="204"/>
      <c r="AS461" s="204"/>
      <c r="AT461" s="204"/>
      <c r="AU461" s="204">
        <f t="shared" si="315"/>
        <v>78.576181818181809</v>
      </c>
      <c r="AV461" s="204"/>
    </row>
    <row r="462" spans="1:48" ht="12" customHeight="1">
      <c r="A462" s="53"/>
      <c r="B462" s="53"/>
      <c r="C462" s="53"/>
      <c r="D462" s="53"/>
      <c r="E462" s="53"/>
      <c r="F462" s="53"/>
      <c r="G462" s="53"/>
      <c r="H462" s="1" t="s">
        <v>420</v>
      </c>
      <c r="I462" s="345">
        <v>111</v>
      </c>
      <c r="J462" s="229">
        <v>4224</v>
      </c>
      <c r="K462" s="18" t="s">
        <v>421</v>
      </c>
      <c r="L462" s="130"/>
      <c r="M462" s="130"/>
      <c r="N462" s="131"/>
      <c r="O462" s="131">
        <f>N462/7.5345</f>
        <v>0</v>
      </c>
      <c r="P462" s="132"/>
      <c r="Q462" s="132"/>
      <c r="R462" s="159"/>
      <c r="S462" s="165" t="e">
        <f ca="1">__xlfn.XLOOKUP(H462,[1]Izvršenje_proračuna_po_pozicija!$B$2:$B$153,[1]Izvršenje_proračuna_po_pozicija!$E$2:$E$153,0)</f>
        <v>#NAME?</v>
      </c>
      <c r="T462" s="165"/>
      <c r="U462" s="165"/>
      <c r="V462" s="200">
        <v>2500</v>
      </c>
      <c r="W462" s="200">
        <v>2500</v>
      </c>
      <c r="X462" s="164">
        <v>0</v>
      </c>
      <c r="Y462" s="378">
        <v>0</v>
      </c>
      <c r="Z462" s="378"/>
      <c r="AA462" s="370" t="e">
        <f t="shared" ca="1" si="313"/>
        <v>#NAME?</v>
      </c>
      <c r="AB462" s="183"/>
      <c r="AC462" s="178"/>
      <c r="AD462" s="178"/>
      <c r="AE462" s="178"/>
      <c r="AF462" s="178"/>
      <c r="AG462" s="178"/>
      <c r="AH462" s="178"/>
      <c r="AI462" s="183"/>
      <c r="AJ462" s="378">
        <v>0</v>
      </c>
      <c r="AK462" s="171"/>
      <c r="AL462" s="171">
        <f t="shared" si="306"/>
        <v>0</v>
      </c>
      <c r="AM462" s="171"/>
      <c r="AN462" s="165"/>
      <c r="AO462" s="193"/>
      <c r="AP462" s="193" t="e">
        <f t="shared" ca="1" si="312"/>
        <v>#NAME?</v>
      </c>
      <c r="AQ462" s="200">
        <v>2423.75</v>
      </c>
      <c r="AR462" s="204"/>
      <c r="AS462" s="204"/>
      <c r="AT462" s="204"/>
      <c r="AU462" s="204">
        <f t="shared" si="315"/>
        <v>96.95</v>
      </c>
      <c r="AV462" s="204"/>
    </row>
    <row r="463" spans="1:48" ht="12" customHeight="1">
      <c r="A463" s="53"/>
      <c r="B463" s="53"/>
      <c r="C463" s="53"/>
      <c r="D463" s="53"/>
      <c r="E463" s="53"/>
      <c r="F463" s="53"/>
      <c r="G463" s="53"/>
      <c r="H463" s="1" t="s">
        <v>422</v>
      </c>
      <c r="I463" s="345">
        <v>111</v>
      </c>
      <c r="J463" s="229">
        <v>4227</v>
      </c>
      <c r="K463" s="18" t="s">
        <v>423</v>
      </c>
      <c r="L463" s="130">
        <v>0</v>
      </c>
      <c r="M463" s="130">
        <v>0</v>
      </c>
      <c r="N463" s="131">
        <v>0</v>
      </c>
      <c r="O463" s="131">
        <f>N463/7.5345</f>
        <v>0</v>
      </c>
      <c r="P463" s="132">
        <v>4000</v>
      </c>
      <c r="Q463" s="163">
        <v>2000</v>
      </c>
      <c r="R463" s="159">
        <v>963</v>
      </c>
      <c r="S463" s="165" t="e">
        <f ca="1">__xlfn.XLOOKUP(H463,[1]Izvršenje_proračuna_po_pozicija!$B$2:$B$153,[1]Izvršenje_proračuna_po_pozicija!$E$2:$E$153,0)</f>
        <v>#NAME?</v>
      </c>
      <c r="T463" s="165"/>
      <c r="U463" s="165"/>
      <c r="V463" s="200">
        <v>20000</v>
      </c>
      <c r="W463" s="200">
        <v>20000</v>
      </c>
      <c r="X463" s="164">
        <v>10000</v>
      </c>
      <c r="Y463" s="378">
        <v>12000</v>
      </c>
      <c r="Z463" s="378"/>
      <c r="AA463" s="370" t="e">
        <f t="shared" ca="1" si="313"/>
        <v>#NAME?</v>
      </c>
      <c r="AB463" s="183"/>
      <c r="AC463" s="178">
        <v>4000</v>
      </c>
      <c r="AD463" s="178">
        <v>4000</v>
      </c>
      <c r="AE463" s="178"/>
      <c r="AF463" s="178" t="e">
        <f>P463/O463*100</f>
        <v>#DIV/0!</v>
      </c>
      <c r="AG463" s="178">
        <f>Q463/P463*100</f>
        <v>50</v>
      </c>
      <c r="AH463" s="178">
        <f>AC463/Q463*100</f>
        <v>200</v>
      </c>
      <c r="AI463" s="183"/>
      <c r="AJ463" s="378">
        <v>12000</v>
      </c>
      <c r="AK463" s="171">
        <f t="shared" si="305"/>
        <v>2076.8431983385253</v>
      </c>
      <c r="AL463" s="171">
        <f t="shared" si="306"/>
        <v>50</v>
      </c>
      <c r="AM463" s="171">
        <f t="shared" si="306"/>
        <v>120</v>
      </c>
      <c r="AN463" s="165"/>
      <c r="AO463" s="193"/>
      <c r="AP463" s="193" t="e">
        <f t="shared" ca="1" si="312"/>
        <v>#NAME?</v>
      </c>
      <c r="AQ463" s="200">
        <v>19650</v>
      </c>
      <c r="AR463" s="204">
        <f>V463/R463*100</f>
        <v>2076.8431983385253</v>
      </c>
      <c r="AS463" s="204">
        <f t="shared" si="314"/>
        <v>100</v>
      </c>
      <c r="AT463" s="204">
        <f>W463/R463*100</f>
        <v>2076.8431983385253</v>
      </c>
      <c r="AU463" s="204">
        <f t="shared" si="315"/>
        <v>98.25</v>
      </c>
      <c r="AV463" s="204">
        <f>AQ463/R463*100</f>
        <v>2040.4984423676012</v>
      </c>
    </row>
    <row r="464" spans="1:48" ht="12" customHeight="1">
      <c r="A464" s="53"/>
      <c r="B464" s="53"/>
      <c r="C464" s="53"/>
      <c r="D464" s="53"/>
      <c r="E464" s="53"/>
      <c r="F464" s="53"/>
      <c r="G464" s="53"/>
      <c r="H464" s="1"/>
      <c r="I464" s="345"/>
      <c r="J464" s="229"/>
      <c r="K464" s="18"/>
      <c r="L464" s="130"/>
      <c r="M464" s="130"/>
      <c r="N464" s="131"/>
      <c r="O464" s="131"/>
      <c r="P464" s="132"/>
      <c r="Q464" s="132"/>
      <c r="R464" s="159"/>
      <c r="S464" s="165" t="e">
        <f ca="1">__xlfn.XLOOKUP(H464,[1]Izvršenje_proračuna_po_pozicija!$B$2:$B$153,[1]Izvršenje_proračuna_po_pozicija!$E$2:$E$153,0)</f>
        <v>#NAME?</v>
      </c>
      <c r="T464" s="165"/>
      <c r="U464" s="165"/>
      <c r="V464" s="200"/>
      <c r="W464" s="200"/>
      <c r="X464" s="164"/>
      <c r="Y464" s="378"/>
      <c r="Z464" s="378"/>
      <c r="AA464" s="370" t="e">
        <f t="shared" ca="1" si="313"/>
        <v>#NAME?</v>
      </c>
      <c r="AB464" s="183"/>
      <c r="AC464" s="178"/>
      <c r="AD464" s="178"/>
      <c r="AE464" s="178"/>
      <c r="AF464" s="178"/>
      <c r="AG464" s="178"/>
      <c r="AH464" s="178"/>
      <c r="AI464" s="183"/>
      <c r="AJ464" s="378"/>
      <c r="AK464" s="171"/>
      <c r="AL464" s="171"/>
      <c r="AM464" s="171"/>
      <c r="AN464" s="165"/>
      <c r="AO464" s="193"/>
      <c r="AP464" s="193" t="e">
        <f t="shared" ca="1" si="312"/>
        <v>#NAME?</v>
      </c>
      <c r="AQ464" s="200"/>
      <c r="AR464" s="204"/>
      <c r="AS464" s="204"/>
      <c r="AT464" s="204"/>
      <c r="AU464" s="204"/>
      <c r="AV464" s="204"/>
    </row>
    <row r="465" spans="1:48" ht="12" customHeight="1">
      <c r="A465" s="62"/>
      <c r="B465" s="62"/>
      <c r="C465" s="62"/>
      <c r="D465" s="62"/>
      <c r="E465" s="62"/>
      <c r="F465" s="62"/>
      <c r="G465" s="62"/>
      <c r="H465" s="304"/>
      <c r="I465" s="346"/>
      <c r="J465" s="303">
        <v>426</v>
      </c>
      <c r="K465" s="19" t="s">
        <v>424</v>
      </c>
      <c r="L465" s="112">
        <f t="shared" ref="L465:Z465" si="331">L466</f>
        <v>56250</v>
      </c>
      <c r="M465" s="112">
        <f t="shared" si="331"/>
        <v>7465.6579733227154</v>
      </c>
      <c r="N465" s="113">
        <f t="shared" si="331"/>
        <v>24325</v>
      </c>
      <c r="O465" s="113">
        <f t="shared" si="331"/>
        <v>3228.4823146857784</v>
      </c>
      <c r="P465" s="114">
        <f t="shared" si="331"/>
        <v>10000</v>
      </c>
      <c r="Q465" s="114">
        <f t="shared" si="331"/>
        <v>8000</v>
      </c>
      <c r="R465" s="88">
        <f t="shared" si="331"/>
        <v>7111</v>
      </c>
      <c r="S465" s="90" t="e">
        <f t="shared" ca="1" si="331"/>
        <v>#NAME?</v>
      </c>
      <c r="T465" s="90"/>
      <c r="U465" s="90"/>
      <c r="V465" s="200">
        <f>V466</f>
        <v>2000</v>
      </c>
      <c r="W465" s="200">
        <f t="shared" si="331"/>
        <v>2000</v>
      </c>
      <c r="X465" s="88">
        <f t="shared" si="331"/>
        <v>4000</v>
      </c>
      <c r="Y465" s="171">
        <f t="shared" si="331"/>
        <v>4000</v>
      </c>
      <c r="Z465" s="171">
        <f t="shared" si="331"/>
        <v>0</v>
      </c>
      <c r="AA465" s="370" t="e">
        <f t="shared" ca="1" si="313"/>
        <v>#NAME?</v>
      </c>
      <c r="AB465" s="171"/>
      <c r="AC465" s="172">
        <f>AC466</f>
        <v>5000</v>
      </c>
      <c r="AD465" s="172">
        <f>AD466</f>
        <v>5000</v>
      </c>
      <c r="AE465" s="178">
        <f>O465/M465*100</f>
        <v>43.24444444444444</v>
      </c>
      <c r="AF465" s="178"/>
      <c r="AG465" s="178"/>
      <c r="AH465" s="178"/>
      <c r="AI465" s="171"/>
      <c r="AJ465" s="171">
        <v>4000</v>
      </c>
      <c r="AK465" s="171">
        <f t="shared" si="305"/>
        <v>28.125439459991565</v>
      </c>
      <c r="AL465" s="171">
        <f t="shared" si="306"/>
        <v>200</v>
      </c>
      <c r="AM465" s="171">
        <f t="shared" si="306"/>
        <v>100</v>
      </c>
      <c r="AN465" s="90"/>
      <c r="AO465" s="193"/>
      <c r="AP465" s="193" t="e">
        <f t="shared" ca="1" si="312"/>
        <v>#NAME?</v>
      </c>
      <c r="AQ465" s="200">
        <f>AQ466</f>
        <v>0</v>
      </c>
      <c r="AR465" s="204">
        <f>V465/R465*100</f>
        <v>28.125439459991565</v>
      </c>
      <c r="AS465" s="204">
        <f t="shared" si="314"/>
        <v>100</v>
      </c>
      <c r="AT465" s="204">
        <f>W465/R465*100</f>
        <v>28.125439459991565</v>
      </c>
      <c r="AU465" s="204">
        <f t="shared" si="315"/>
        <v>0</v>
      </c>
      <c r="AV465" s="204">
        <f>AQ465/R465*100</f>
        <v>0</v>
      </c>
    </row>
    <row r="466" spans="1:48" ht="12" customHeight="1">
      <c r="A466" s="53"/>
      <c r="B466" s="53"/>
      <c r="C466" s="53"/>
      <c r="D466" s="53"/>
      <c r="E466" s="53"/>
      <c r="F466" s="53"/>
      <c r="G466" s="53"/>
      <c r="H466" s="1">
        <v>31</v>
      </c>
      <c r="I466" s="345">
        <v>111</v>
      </c>
      <c r="J466" s="229">
        <v>4262</v>
      </c>
      <c r="K466" s="18" t="s">
        <v>425</v>
      </c>
      <c r="L466" s="130">
        <v>56250</v>
      </c>
      <c r="M466" s="130">
        <f>56250/7.5345</f>
        <v>7465.6579733227154</v>
      </c>
      <c r="N466" s="131">
        <v>24325</v>
      </c>
      <c r="O466" s="131">
        <f>N466/7.5345</f>
        <v>3228.4823146857784</v>
      </c>
      <c r="P466" s="132">
        <v>10000</v>
      </c>
      <c r="Q466" s="163">
        <v>8000</v>
      </c>
      <c r="R466" s="159">
        <v>7111</v>
      </c>
      <c r="S466" s="165" t="e">
        <f ca="1">__xlfn.XLOOKUP(H466,[1]Izvršenje_proračuna_po_pozicija!$B$2:$B$153,[1]Izvršenje_proračuna_po_pozicija!$E$2:$E$153,0)</f>
        <v>#NAME?</v>
      </c>
      <c r="T466" s="165"/>
      <c r="U466" s="165"/>
      <c r="V466" s="200">
        <v>2000</v>
      </c>
      <c r="W466" s="200">
        <v>2000</v>
      </c>
      <c r="X466" s="164">
        <v>4000</v>
      </c>
      <c r="Y466" s="378">
        <v>4000</v>
      </c>
      <c r="Z466" s="378"/>
      <c r="AA466" s="370" t="e">
        <f t="shared" ca="1" si="313"/>
        <v>#NAME?</v>
      </c>
      <c r="AB466" s="183"/>
      <c r="AC466" s="178">
        <v>5000</v>
      </c>
      <c r="AD466" s="178">
        <v>5000</v>
      </c>
      <c r="AE466" s="178">
        <f>O466/M466*100</f>
        <v>43.24444444444444</v>
      </c>
      <c r="AF466" s="178"/>
      <c r="AG466" s="178"/>
      <c r="AH466" s="178"/>
      <c r="AI466" s="183"/>
      <c r="AJ466" s="378">
        <v>4000</v>
      </c>
      <c r="AK466" s="171">
        <f t="shared" si="305"/>
        <v>28.125439459991565</v>
      </c>
      <c r="AL466" s="171">
        <f t="shared" si="306"/>
        <v>200</v>
      </c>
      <c r="AM466" s="171">
        <f t="shared" si="306"/>
        <v>100</v>
      </c>
      <c r="AN466" s="165"/>
      <c r="AO466" s="193"/>
      <c r="AP466" s="193" t="e">
        <f t="shared" ca="1" si="312"/>
        <v>#NAME?</v>
      </c>
      <c r="AQ466" s="200"/>
      <c r="AR466" s="204">
        <f>V466/R466*100</f>
        <v>28.125439459991565</v>
      </c>
      <c r="AS466" s="204">
        <f t="shared" si="314"/>
        <v>100</v>
      </c>
      <c r="AT466" s="204">
        <f>W466/R466*100</f>
        <v>28.125439459991565</v>
      </c>
      <c r="AU466" s="204">
        <f t="shared" si="315"/>
        <v>0</v>
      </c>
      <c r="AV466" s="204">
        <f>AQ466/R466*100</f>
        <v>0</v>
      </c>
    </row>
    <row r="467" spans="1:48" ht="12" customHeight="1">
      <c r="A467" s="53"/>
      <c r="B467" s="53"/>
      <c r="C467" s="53"/>
      <c r="D467" s="53"/>
      <c r="E467" s="53"/>
      <c r="F467" s="53"/>
      <c r="G467" s="53"/>
      <c r="H467" s="1"/>
      <c r="I467" s="345"/>
      <c r="J467" s="229"/>
      <c r="K467" s="18"/>
      <c r="L467" s="130"/>
      <c r="M467" s="130"/>
      <c r="N467" s="131"/>
      <c r="O467" s="131"/>
      <c r="P467" s="132"/>
      <c r="Q467" s="132"/>
      <c r="R467" s="159"/>
      <c r="S467" s="165" t="e">
        <f ca="1">__xlfn.XLOOKUP(H467,[1]Izvršenje_proračuna_po_pozicija!$B$2:$B$153,[1]Izvršenje_proračuna_po_pozicija!$E$2:$E$153,0)</f>
        <v>#NAME?</v>
      </c>
      <c r="T467" s="165"/>
      <c r="U467" s="165"/>
      <c r="V467" s="200"/>
      <c r="W467" s="200"/>
      <c r="X467" s="164"/>
      <c r="Y467" s="378"/>
      <c r="Z467" s="378"/>
      <c r="AA467" s="370" t="e">
        <f t="shared" ca="1" si="313"/>
        <v>#NAME?</v>
      </c>
      <c r="AB467" s="183"/>
      <c r="AC467" s="178"/>
      <c r="AD467" s="178"/>
      <c r="AE467" s="178"/>
      <c r="AF467" s="178"/>
      <c r="AG467" s="178"/>
      <c r="AH467" s="178"/>
      <c r="AI467" s="183"/>
      <c r="AJ467" s="378"/>
      <c r="AK467" s="171"/>
      <c r="AL467" s="171"/>
      <c r="AM467" s="171"/>
      <c r="AN467" s="165"/>
      <c r="AO467" s="193"/>
      <c r="AP467" s="193" t="e">
        <f t="shared" ca="1" si="312"/>
        <v>#NAME?</v>
      </c>
      <c r="AQ467" s="200"/>
      <c r="AR467" s="204"/>
      <c r="AS467" s="204"/>
      <c r="AT467" s="204"/>
      <c r="AU467" s="204"/>
      <c r="AV467" s="204"/>
    </row>
    <row r="468" spans="1:48" ht="12" customHeight="1">
      <c r="A468" s="433" t="s">
        <v>426</v>
      </c>
      <c r="B468" s="434"/>
      <c r="C468" s="434"/>
      <c r="D468" s="434"/>
      <c r="E468" s="434"/>
      <c r="F468" s="434"/>
      <c r="G468" s="434"/>
      <c r="H468" s="435"/>
      <c r="I468" s="440" t="s">
        <v>427</v>
      </c>
      <c r="J468" s="441"/>
      <c r="K468" s="442"/>
      <c r="L468" s="335">
        <f t="shared" ref="L468:S468" si="332">L470</f>
        <v>0</v>
      </c>
      <c r="M468" s="335">
        <f t="shared" si="332"/>
        <v>0</v>
      </c>
      <c r="N468" s="336">
        <f t="shared" si="332"/>
        <v>0</v>
      </c>
      <c r="O468" s="336">
        <f t="shared" si="332"/>
        <v>0</v>
      </c>
      <c r="P468" s="337">
        <f t="shared" si="332"/>
        <v>0</v>
      </c>
      <c r="Q468" s="337">
        <f t="shared" si="332"/>
        <v>0</v>
      </c>
      <c r="R468" s="359">
        <f t="shared" si="332"/>
        <v>0</v>
      </c>
      <c r="S468" s="360" t="e">
        <f t="shared" ca="1" si="332"/>
        <v>#NAME?</v>
      </c>
      <c r="T468" s="360"/>
      <c r="U468" s="360"/>
      <c r="V468" s="200">
        <f>V470</f>
        <v>0</v>
      </c>
      <c r="W468" s="200">
        <f>W470</f>
        <v>0</v>
      </c>
      <c r="X468" s="359">
        <f>X470</f>
        <v>0</v>
      </c>
      <c r="Y468" s="371">
        <f>Y470</f>
        <v>0</v>
      </c>
      <c r="Z468" s="371">
        <f>Z470</f>
        <v>0</v>
      </c>
      <c r="AA468" s="370" t="e">
        <f t="shared" ca="1" si="313"/>
        <v>#NAME?</v>
      </c>
      <c r="AB468" s="371"/>
      <c r="AC468" s="372">
        <f>AC470</f>
        <v>0</v>
      </c>
      <c r="AD468" s="372">
        <f>AD470</f>
        <v>0</v>
      </c>
      <c r="AE468" s="178"/>
      <c r="AF468" s="178"/>
      <c r="AG468" s="178"/>
      <c r="AH468" s="178"/>
      <c r="AI468" s="371"/>
      <c r="AJ468" s="371">
        <v>0</v>
      </c>
      <c r="AK468" s="171"/>
      <c r="AL468" s="171"/>
      <c r="AM468" s="171"/>
      <c r="AN468" s="360"/>
      <c r="AO468" s="193"/>
      <c r="AP468" s="193" t="e">
        <f t="shared" ca="1" si="312"/>
        <v>#NAME?</v>
      </c>
      <c r="AQ468" s="200">
        <f>AQ470</f>
        <v>0</v>
      </c>
      <c r="AR468" s="204"/>
      <c r="AS468" s="204"/>
      <c r="AT468" s="204"/>
      <c r="AU468" s="204"/>
      <c r="AV468" s="204"/>
    </row>
    <row r="469" spans="1:48" ht="12" customHeight="1">
      <c r="A469" s="69"/>
      <c r="B469" s="69"/>
      <c r="C469" s="69"/>
      <c r="D469" s="69"/>
      <c r="E469" s="69"/>
      <c r="F469" s="69"/>
      <c r="G469" s="69"/>
      <c r="H469" s="436"/>
      <c r="I469" s="3"/>
      <c r="J469" s="7"/>
      <c r="K469" s="7"/>
      <c r="L469" s="85"/>
      <c r="M469" s="85"/>
      <c r="N469" s="86"/>
      <c r="O469" s="86"/>
      <c r="P469" s="87"/>
      <c r="Q469" s="87"/>
      <c r="R469" s="160"/>
      <c r="S469" s="165" t="e">
        <f ca="1">__xlfn.XLOOKUP(H469,[1]Izvršenje_proračuna_po_pozicija!$B$2:$B$153,[1]Izvršenje_proračuna_po_pozicija!$E$2:$E$153,0)</f>
        <v>#NAME?</v>
      </c>
      <c r="T469" s="165"/>
      <c r="U469" s="165"/>
      <c r="V469" s="200"/>
      <c r="W469" s="200"/>
      <c r="X469" s="361"/>
      <c r="Y469" s="373"/>
      <c r="Z469" s="373"/>
      <c r="AA469" s="370" t="e">
        <f t="shared" ca="1" si="313"/>
        <v>#NAME?</v>
      </c>
      <c r="AB469" s="181"/>
      <c r="AC469" s="182"/>
      <c r="AD469" s="182"/>
      <c r="AE469" s="178"/>
      <c r="AF469" s="178"/>
      <c r="AG469" s="178"/>
      <c r="AH469" s="178"/>
      <c r="AI469" s="181"/>
      <c r="AJ469" s="373"/>
      <c r="AK469" s="171"/>
      <c r="AL469" s="171"/>
      <c r="AM469" s="171"/>
      <c r="AN469" s="161"/>
      <c r="AO469" s="193"/>
      <c r="AP469" s="193" t="e">
        <f t="shared" ca="1" si="312"/>
        <v>#NAME?</v>
      </c>
      <c r="AQ469" s="200"/>
      <c r="AR469" s="204"/>
      <c r="AS469" s="204"/>
      <c r="AT469" s="204"/>
      <c r="AU469" s="204"/>
      <c r="AV469" s="204"/>
    </row>
    <row r="470" spans="1:48" ht="12" customHeight="1">
      <c r="A470" s="24"/>
      <c r="B470" s="24"/>
      <c r="C470" s="24"/>
      <c r="D470" s="24"/>
      <c r="E470" s="24"/>
      <c r="F470" s="24"/>
      <c r="G470" s="24"/>
      <c r="H470" s="393"/>
      <c r="I470" s="404"/>
      <c r="J470" s="281">
        <v>4</v>
      </c>
      <c r="K470" s="2" t="s">
        <v>417</v>
      </c>
      <c r="L470" s="112">
        <f t="shared" ref="L470:Z472" si="333">L471</f>
        <v>0</v>
      </c>
      <c r="M470" s="112">
        <f t="shared" si="333"/>
        <v>0</v>
      </c>
      <c r="N470" s="113">
        <f t="shared" si="333"/>
        <v>0</v>
      </c>
      <c r="O470" s="113">
        <f t="shared" si="333"/>
        <v>0</v>
      </c>
      <c r="P470" s="114">
        <f t="shared" si="333"/>
        <v>0</v>
      </c>
      <c r="Q470" s="114">
        <f t="shared" si="333"/>
        <v>0</v>
      </c>
      <c r="R470" s="88">
        <f t="shared" si="333"/>
        <v>0</v>
      </c>
      <c r="S470" s="90" t="e">
        <f t="shared" ca="1" si="333"/>
        <v>#NAME?</v>
      </c>
      <c r="T470" s="90"/>
      <c r="U470" s="90"/>
      <c r="V470" s="200">
        <f>V471</f>
        <v>0</v>
      </c>
      <c r="W470" s="200">
        <f t="shared" si="333"/>
        <v>0</v>
      </c>
      <c r="X470" s="88">
        <f t="shared" si="333"/>
        <v>0</v>
      </c>
      <c r="Y470" s="171">
        <f t="shared" si="333"/>
        <v>0</v>
      </c>
      <c r="Z470" s="171">
        <f t="shared" si="333"/>
        <v>0</v>
      </c>
      <c r="AA470" s="370" t="e">
        <f t="shared" ca="1" si="313"/>
        <v>#NAME?</v>
      </c>
      <c r="AB470" s="171"/>
      <c r="AC470" s="172">
        <f t="shared" ref="AC470:AD472" si="334">AC471</f>
        <v>0</v>
      </c>
      <c r="AD470" s="172">
        <f t="shared" si="334"/>
        <v>0</v>
      </c>
      <c r="AE470" s="178"/>
      <c r="AF470" s="178"/>
      <c r="AG470" s="178"/>
      <c r="AH470" s="178"/>
      <c r="AI470" s="171"/>
      <c r="AJ470" s="171">
        <v>0</v>
      </c>
      <c r="AK470" s="171"/>
      <c r="AL470" s="171"/>
      <c r="AM470" s="171"/>
      <c r="AN470" s="90"/>
      <c r="AO470" s="193"/>
      <c r="AP470" s="193" t="e">
        <f t="shared" ca="1" si="312"/>
        <v>#NAME?</v>
      </c>
      <c r="AQ470" s="200">
        <f>AQ471</f>
        <v>0</v>
      </c>
      <c r="AR470" s="204"/>
      <c r="AS470" s="204"/>
      <c r="AT470" s="204"/>
      <c r="AU470" s="204"/>
      <c r="AV470" s="204"/>
    </row>
    <row r="471" spans="1:48" ht="12" customHeight="1">
      <c r="A471" s="301"/>
      <c r="B471" s="301"/>
      <c r="C471" s="301"/>
      <c r="D471" s="301"/>
      <c r="E471" s="301"/>
      <c r="F471" s="301"/>
      <c r="G471" s="301"/>
      <c r="H471" s="307"/>
      <c r="I471" s="405"/>
      <c r="J471" s="302">
        <v>41</v>
      </c>
      <c r="K471" s="343" t="s">
        <v>428</v>
      </c>
      <c r="L471" s="112">
        <f t="shared" si="333"/>
        <v>0</v>
      </c>
      <c r="M471" s="112">
        <f t="shared" si="333"/>
        <v>0</v>
      </c>
      <c r="N471" s="113">
        <f t="shared" si="333"/>
        <v>0</v>
      </c>
      <c r="O471" s="113">
        <f t="shared" si="333"/>
        <v>0</v>
      </c>
      <c r="P471" s="114">
        <f t="shared" si="333"/>
        <v>0</v>
      </c>
      <c r="Q471" s="114">
        <f t="shared" si="333"/>
        <v>0</v>
      </c>
      <c r="R471" s="88">
        <f t="shared" si="333"/>
        <v>0</v>
      </c>
      <c r="S471" s="90" t="e">
        <f t="shared" ca="1" si="333"/>
        <v>#NAME?</v>
      </c>
      <c r="T471" s="90"/>
      <c r="U471" s="90"/>
      <c r="V471" s="200">
        <f>V472</f>
        <v>0</v>
      </c>
      <c r="W471" s="200">
        <f t="shared" si="333"/>
        <v>0</v>
      </c>
      <c r="X471" s="88">
        <f t="shared" si="333"/>
        <v>0</v>
      </c>
      <c r="Y471" s="171">
        <f t="shared" si="333"/>
        <v>0</v>
      </c>
      <c r="Z471" s="171">
        <f t="shared" si="333"/>
        <v>0</v>
      </c>
      <c r="AA471" s="370" t="e">
        <f t="shared" ca="1" si="313"/>
        <v>#NAME?</v>
      </c>
      <c r="AB471" s="171"/>
      <c r="AC471" s="172">
        <f t="shared" si="334"/>
        <v>0</v>
      </c>
      <c r="AD471" s="172">
        <f t="shared" si="334"/>
        <v>0</v>
      </c>
      <c r="AE471" s="178"/>
      <c r="AF471" s="178"/>
      <c r="AG471" s="178"/>
      <c r="AH471" s="178"/>
      <c r="AI471" s="171"/>
      <c r="AJ471" s="171">
        <v>0</v>
      </c>
      <c r="AK471" s="171"/>
      <c r="AL471" s="171"/>
      <c r="AM471" s="171"/>
      <c r="AN471" s="90"/>
      <c r="AO471" s="193"/>
      <c r="AP471" s="193" t="e">
        <f t="shared" ca="1" si="312"/>
        <v>#NAME?</v>
      </c>
      <c r="AQ471" s="200">
        <f>AQ472</f>
        <v>0</v>
      </c>
      <c r="AR471" s="204"/>
      <c r="AS471" s="204"/>
      <c r="AT471" s="204"/>
      <c r="AU471" s="204"/>
      <c r="AV471" s="204"/>
    </row>
    <row r="472" spans="1:48" ht="12" customHeight="1">
      <c r="A472" s="62"/>
      <c r="B472" s="62"/>
      <c r="C472" s="62"/>
      <c r="D472" s="62"/>
      <c r="E472" s="62"/>
      <c r="F472" s="62"/>
      <c r="G472" s="62"/>
      <c r="H472" s="304"/>
      <c r="I472" s="416"/>
      <c r="J472" s="303">
        <v>411</v>
      </c>
      <c r="K472" s="19" t="s">
        <v>429</v>
      </c>
      <c r="L472" s="112">
        <f t="shared" si="333"/>
        <v>0</v>
      </c>
      <c r="M472" s="112">
        <f t="shared" si="333"/>
        <v>0</v>
      </c>
      <c r="N472" s="113">
        <f t="shared" si="333"/>
        <v>0</v>
      </c>
      <c r="O472" s="113">
        <f t="shared" si="333"/>
        <v>0</v>
      </c>
      <c r="P472" s="114">
        <f t="shared" si="333"/>
        <v>0</v>
      </c>
      <c r="Q472" s="114">
        <f t="shared" si="333"/>
        <v>0</v>
      </c>
      <c r="R472" s="88">
        <f t="shared" si="333"/>
        <v>0</v>
      </c>
      <c r="S472" s="90" t="e">
        <f t="shared" ca="1" si="333"/>
        <v>#NAME?</v>
      </c>
      <c r="T472" s="90"/>
      <c r="U472" s="90"/>
      <c r="V472" s="200">
        <f>V473</f>
        <v>0</v>
      </c>
      <c r="W472" s="200">
        <f t="shared" si="333"/>
        <v>0</v>
      </c>
      <c r="X472" s="88">
        <f t="shared" si="333"/>
        <v>0</v>
      </c>
      <c r="Y472" s="171">
        <f t="shared" si="333"/>
        <v>0</v>
      </c>
      <c r="Z472" s="171">
        <f t="shared" si="333"/>
        <v>0</v>
      </c>
      <c r="AA472" s="370" t="e">
        <f t="shared" ca="1" si="313"/>
        <v>#NAME?</v>
      </c>
      <c r="AB472" s="171"/>
      <c r="AC472" s="172">
        <f t="shared" si="334"/>
        <v>0</v>
      </c>
      <c r="AD472" s="172">
        <f t="shared" si="334"/>
        <v>0</v>
      </c>
      <c r="AE472" s="178"/>
      <c r="AF472" s="178"/>
      <c r="AG472" s="178"/>
      <c r="AH472" s="178"/>
      <c r="AI472" s="171"/>
      <c r="AJ472" s="171">
        <v>0</v>
      </c>
      <c r="AK472" s="171"/>
      <c r="AL472" s="171"/>
      <c r="AM472" s="171"/>
      <c r="AN472" s="90"/>
      <c r="AO472" s="193"/>
      <c r="AP472" s="193" t="e">
        <f t="shared" ca="1" si="312"/>
        <v>#NAME?</v>
      </c>
      <c r="AQ472" s="200">
        <f>AQ473</f>
        <v>0</v>
      </c>
      <c r="AR472" s="204"/>
      <c r="AS472" s="204"/>
      <c r="AT472" s="204"/>
      <c r="AU472" s="204"/>
      <c r="AV472" s="204"/>
    </row>
    <row r="473" spans="1:48" ht="12" customHeight="1">
      <c r="A473" s="53"/>
      <c r="B473" s="53"/>
      <c r="C473" s="53"/>
      <c r="D473" s="53"/>
      <c r="E473" s="53"/>
      <c r="F473" s="53"/>
      <c r="G473" s="53"/>
      <c r="H473" s="1" t="s">
        <v>430</v>
      </c>
      <c r="I473" s="345">
        <v>111</v>
      </c>
      <c r="J473" s="229">
        <v>4111</v>
      </c>
      <c r="K473" s="18" t="s">
        <v>195</v>
      </c>
      <c r="L473" s="130">
        <v>0</v>
      </c>
      <c r="M473" s="130">
        <v>0</v>
      </c>
      <c r="N473" s="131">
        <v>0</v>
      </c>
      <c r="O473" s="131">
        <v>0</v>
      </c>
      <c r="P473" s="132">
        <v>0</v>
      </c>
      <c r="Q473" s="132">
        <v>0</v>
      </c>
      <c r="R473" s="159">
        <v>0</v>
      </c>
      <c r="S473" s="165" t="e">
        <f ca="1">__xlfn.XLOOKUP(H473,[1]Izvršenje_proračuna_po_pozicija!$B$2:$B$153,[1]Izvršenje_proračuna_po_pozicija!$E$2:$E$153,0)</f>
        <v>#NAME?</v>
      </c>
      <c r="T473" s="165"/>
      <c r="U473" s="165"/>
      <c r="V473" s="200"/>
      <c r="W473" s="200"/>
      <c r="X473" s="164"/>
      <c r="Y473" s="378"/>
      <c r="Z473" s="378"/>
      <c r="AA473" s="370" t="e">
        <f t="shared" ca="1" si="313"/>
        <v>#NAME?</v>
      </c>
      <c r="AB473" s="183"/>
      <c r="AC473" s="178"/>
      <c r="AD473" s="178"/>
      <c r="AE473" s="178"/>
      <c r="AF473" s="178"/>
      <c r="AG473" s="178"/>
      <c r="AH473" s="178"/>
      <c r="AI473" s="183"/>
      <c r="AJ473" s="378"/>
      <c r="AK473" s="171"/>
      <c r="AL473" s="171"/>
      <c r="AM473" s="171"/>
      <c r="AN473" s="165"/>
      <c r="AO473" s="193"/>
      <c r="AP473" s="193" t="e">
        <f t="shared" ca="1" si="312"/>
        <v>#NAME?</v>
      </c>
      <c r="AQ473" s="200"/>
      <c r="AR473" s="204"/>
      <c r="AS473" s="204"/>
      <c r="AT473" s="204"/>
      <c r="AU473" s="204"/>
      <c r="AV473" s="204"/>
    </row>
    <row r="474" spans="1:48" ht="12" customHeight="1">
      <c r="A474" s="53"/>
      <c r="B474" s="53"/>
      <c r="C474" s="53"/>
      <c r="D474" s="53"/>
      <c r="E474" s="53"/>
      <c r="F474" s="53"/>
      <c r="G474" s="53"/>
      <c r="H474" s="1"/>
      <c r="I474" s="345"/>
      <c r="J474" s="229"/>
      <c r="K474" s="18"/>
      <c r="L474" s="119"/>
      <c r="M474" s="119"/>
      <c r="N474" s="120"/>
      <c r="O474" s="120"/>
      <c r="P474" s="121"/>
      <c r="Q474" s="121"/>
      <c r="R474" s="157"/>
      <c r="S474" s="165" t="e">
        <f ca="1">__xlfn.XLOOKUP(H474,[1]Izvršenje_proračuna_po_pozicija!$B$2:$B$153,[1]Izvršenje_proračuna_po_pozicija!$E$2:$E$153,0)</f>
        <v>#NAME?</v>
      </c>
      <c r="T474" s="165"/>
      <c r="U474" s="165"/>
      <c r="V474" s="200"/>
      <c r="W474" s="200"/>
      <c r="X474" s="164"/>
      <c r="Y474" s="369"/>
      <c r="Z474" s="369"/>
      <c r="AA474" s="370" t="e">
        <f t="shared" ca="1" si="313"/>
        <v>#NAME?</v>
      </c>
      <c r="AB474" s="179"/>
      <c r="AC474" s="180"/>
      <c r="AD474" s="180"/>
      <c r="AE474" s="178"/>
      <c r="AF474" s="178"/>
      <c r="AG474" s="178"/>
      <c r="AH474" s="178"/>
      <c r="AI474" s="179"/>
      <c r="AJ474" s="369"/>
      <c r="AK474" s="171"/>
      <c r="AL474" s="171"/>
      <c r="AM474" s="171"/>
      <c r="AN474" s="158"/>
      <c r="AO474" s="193"/>
      <c r="AP474" s="193" t="e">
        <f t="shared" ca="1" si="312"/>
        <v>#NAME?</v>
      </c>
      <c r="AQ474" s="200"/>
      <c r="AR474" s="204"/>
      <c r="AS474" s="204"/>
      <c r="AT474" s="204"/>
      <c r="AU474" s="204"/>
      <c r="AV474" s="204"/>
    </row>
    <row r="475" spans="1:48" ht="12" customHeight="1">
      <c r="A475" s="437"/>
      <c r="B475" s="437"/>
      <c r="C475" s="437"/>
      <c r="D475" s="437"/>
      <c r="E475" s="437"/>
      <c r="F475" s="437"/>
      <c r="G475" s="437"/>
      <c r="H475" s="438"/>
      <c r="I475" s="443" t="s">
        <v>431</v>
      </c>
      <c r="J475" s="338"/>
      <c r="K475" s="280"/>
      <c r="L475" s="112">
        <f t="shared" ref="L475:Z475" si="335">L476</f>
        <v>199882</v>
      </c>
      <c r="M475" s="112">
        <f t="shared" si="335"/>
        <v>26528.900391532286</v>
      </c>
      <c r="N475" s="113">
        <f t="shared" si="335"/>
        <v>179210</v>
      </c>
      <c r="O475" s="113">
        <f t="shared" si="335"/>
        <v>23785.254495985133</v>
      </c>
      <c r="P475" s="114">
        <f t="shared" si="335"/>
        <v>28500</v>
      </c>
      <c r="Q475" s="114">
        <f t="shared" si="335"/>
        <v>66700</v>
      </c>
      <c r="R475" s="88">
        <f t="shared" si="335"/>
        <v>62347</v>
      </c>
      <c r="S475" s="90" t="e">
        <f t="shared" ca="1" si="335"/>
        <v>#NAME?</v>
      </c>
      <c r="T475" s="90"/>
      <c r="U475" s="90"/>
      <c r="V475" s="200">
        <f>V476</f>
        <v>78600</v>
      </c>
      <c r="W475" s="200">
        <f t="shared" si="335"/>
        <v>78600</v>
      </c>
      <c r="X475" s="88">
        <f t="shared" si="335"/>
        <v>98000</v>
      </c>
      <c r="Y475" s="171">
        <f t="shared" si="335"/>
        <v>116000</v>
      </c>
      <c r="Z475" s="171">
        <f t="shared" si="335"/>
        <v>0</v>
      </c>
      <c r="AA475" s="370" t="e">
        <f t="shared" ca="1" si="313"/>
        <v>#NAME?</v>
      </c>
      <c r="AB475" s="171"/>
      <c r="AC475" s="172">
        <f>AC476</f>
        <v>29400</v>
      </c>
      <c r="AD475" s="172">
        <f>AD476</f>
        <v>29400</v>
      </c>
      <c r="AE475" s="178">
        <f>O475/M475*100</f>
        <v>89.657898159914339</v>
      </c>
      <c r="AF475" s="178">
        <f>P475/O475*100</f>
        <v>119.82213604151555</v>
      </c>
      <c r="AG475" s="178">
        <f>Q475/P475*100</f>
        <v>234.03508771929828</v>
      </c>
      <c r="AH475" s="178">
        <f>AC475/Q475*100</f>
        <v>44.077961019490253</v>
      </c>
      <c r="AI475" s="171"/>
      <c r="AJ475" s="171">
        <v>116000</v>
      </c>
      <c r="AK475" s="171">
        <f t="shared" ref="AK475:AK514" si="336">W475/R475*100</f>
        <v>126.06861597189921</v>
      </c>
      <c r="AL475" s="171">
        <f t="shared" ref="AL475:AM514" si="337">X475/W475*100</f>
        <v>124.68193384223918</v>
      </c>
      <c r="AM475" s="171">
        <f t="shared" si="337"/>
        <v>118.36734693877551</v>
      </c>
      <c r="AN475" s="90"/>
      <c r="AO475" s="193"/>
      <c r="AP475" s="193" t="e">
        <f t="shared" ca="1" si="312"/>
        <v>#NAME?</v>
      </c>
      <c r="AQ475" s="200">
        <f>AQ476</f>
        <v>34266.990000000005</v>
      </c>
      <c r="AR475" s="204">
        <f>V475/R475*100</f>
        <v>126.06861597189921</v>
      </c>
      <c r="AS475" s="204">
        <f t="shared" si="314"/>
        <v>100</v>
      </c>
      <c r="AT475" s="204">
        <f>W475/R475*100</f>
        <v>126.06861597189921</v>
      </c>
      <c r="AU475" s="204">
        <f t="shared" si="315"/>
        <v>43.596679389312982</v>
      </c>
      <c r="AV475" s="204">
        <f>AQ475/R475*100</f>
        <v>54.961730315813121</v>
      </c>
    </row>
    <row r="476" spans="1:48" ht="12" customHeight="1">
      <c r="A476" s="390" t="s">
        <v>331</v>
      </c>
      <c r="B476" s="391"/>
      <c r="C476" s="391"/>
      <c r="D476" s="391"/>
      <c r="E476" s="391"/>
      <c r="F476" s="391"/>
      <c r="G476" s="391"/>
      <c r="H476" s="392"/>
      <c r="I476" s="403" t="s">
        <v>432</v>
      </c>
      <c r="J476" s="339"/>
      <c r="K476" s="340"/>
      <c r="L476" s="112">
        <f t="shared" ref="L476:S476" si="338">L478</f>
        <v>199882</v>
      </c>
      <c r="M476" s="112">
        <f t="shared" si="338"/>
        <v>26528.900391532286</v>
      </c>
      <c r="N476" s="113">
        <f t="shared" si="338"/>
        <v>179210</v>
      </c>
      <c r="O476" s="113">
        <f t="shared" si="338"/>
        <v>23785.254495985133</v>
      </c>
      <c r="P476" s="114">
        <f t="shared" si="338"/>
        <v>28500</v>
      </c>
      <c r="Q476" s="114">
        <f t="shared" si="338"/>
        <v>66700</v>
      </c>
      <c r="R476" s="88">
        <f t="shared" si="338"/>
        <v>62347</v>
      </c>
      <c r="S476" s="90" t="e">
        <f t="shared" ca="1" si="338"/>
        <v>#NAME?</v>
      </c>
      <c r="T476" s="90"/>
      <c r="U476" s="90"/>
      <c r="V476" s="200">
        <f>V478</f>
        <v>78600</v>
      </c>
      <c r="W476" s="200">
        <f>W478</f>
        <v>78600</v>
      </c>
      <c r="X476" s="88">
        <f>X478</f>
        <v>98000</v>
      </c>
      <c r="Y476" s="171">
        <f>Y478</f>
        <v>116000</v>
      </c>
      <c r="Z476" s="171">
        <f>Z478</f>
        <v>0</v>
      </c>
      <c r="AA476" s="370" t="e">
        <f t="shared" ca="1" si="313"/>
        <v>#NAME?</v>
      </c>
      <c r="AB476" s="171"/>
      <c r="AC476" s="172">
        <f>AC478</f>
        <v>29400</v>
      </c>
      <c r="AD476" s="172">
        <f>AD478</f>
        <v>29400</v>
      </c>
      <c r="AE476" s="178">
        <f>O476/M476*100</f>
        <v>89.657898159914339</v>
      </c>
      <c r="AF476" s="178">
        <f>P476/O476*100</f>
        <v>119.82213604151555</v>
      </c>
      <c r="AG476" s="178">
        <f>Q476/P476*100</f>
        <v>234.03508771929828</v>
      </c>
      <c r="AH476" s="178">
        <f>AC476/Q476*100</f>
        <v>44.077961019490253</v>
      </c>
      <c r="AI476" s="171"/>
      <c r="AJ476" s="171">
        <v>116000</v>
      </c>
      <c r="AK476" s="171">
        <f t="shared" si="336"/>
        <v>126.06861597189921</v>
      </c>
      <c r="AL476" s="171">
        <f t="shared" si="337"/>
        <v>124.68193384223918</v>
      </c>
      <c r="AM476" s="171">
        <f t="shared" si="337"/>
        <v>118.36734693877551</v>
      </c>
      <c r="AN476" s="90"/>
      <c r="AO476" s="193"/>
      <c r="AP476" s="193" t="e">
        <f t="shared" ca="1" si="312"/>
        <v>#NAME?</v>
      </c>
      <c r="AQ476" s="200">
        <f>AQ478</f>
        <v>34266.990000000005</v>
      </c>
      <c r="AR476" s="204">
        <f>V476/R476*100</f>
        <v>126.06861597189921</v>
      </c>
      <c r="AS476" s="204">
        <f t="shared" si="314"/>
        <v>100</v>
      </c>
      <c r="AT476" s="204">
        <f>W476/R476*100</f>
        <v>126.06861597189921</v>
      </c>
      <c r="AU476" s="204">
        <f t="shared" si="315"/>
        <v>43.596679389312982</v>
      </c>
      <c r="AV476" s="204">
        <f>AQ476/R476*100</f>
        <v>54.961730315813121</v>
      </c>
    </row>
    <row r="477" spans="1:48" ht="12" customHeight="1">
      <c r="A477" s="42"/>
      <c r="B477" s="42"/>
      <c r="C477" s="42"/>
      <c r="D477" s="42"/>
      <c r="E477" s="42"/>
      <c r="F477" s="42"/>
      <c r="G477" s="42"/>
      <c r="H477" s="308"/>
      <c r="I477" s="14"/>
      <c r="J477" s="2"/>
      <c r="K477" s="84"/>
      <c r="L477" s="85">
        <v>1</v>
      </c>
      <c r="M477" s="85">
        <v>2</v>
      </c>
      <c r="N477" s="86">
        <v>3</v>
      </c>
      <c r="O477" s="86">
        <v>4</v>
      </c>
      <c r="P477" s="87">
        <v>5</v>
      </c>
      <c r="Q477" s="87">
        <v>6</v>
      </c>
      <c r="R477" s="160"/>
      <c r="S477" s="165" t="e">
        <f ca="1">__xlfn.XLOOKUP(H477,[1]Izvršenje_proračuna_po_pozicija!$B$2:$B$153,[1]Izvršenje_proračuna_po_pozicija!$E$2:$E$153,0)</f>
        <v>#NAME?</v>
      </c>
      <c r="T477" s="165"/>
      <c r="U477" s="165"/>
      <c r="V477" s="200"/>
      <c r="W477" s="200"/>
      <c r="X477" s="361"/>
      <c r="Y477" s="373"/>
      <c r="Z477" s="373"/>
      <c r="AA477" s="370" t="e">
        <f t="shared" ca="1" si="313"/>
        <v>#NAME?</v>
      </c>
      <c r="AB477" s="181"/>
      <c r="AC477" s="182">
        <v>7</v>
      </c>
      <c r="AD477" s="182">
        <v>8</v>
      </c>
      <c r="AE477" s="182">
        <v>9</v>
      </c>
      <c r="AF477" s="182">
        <v>10</v>
      </c>
      <c r="AG477" s="182">
        <v>11</v>
      </c>
      <c r="AH477" s="182">
        <v>12</v>
      </c>
      <c r="AI477" s="181"/>
      <c r="AJ477" s="373"/>
      <c r="AK477" s="171"/>
      <c r="AL477" s="171"/>
      <c r="AM477" s="171"/>
      <c r="AN477" s="161"/>
      <c r="AO477" s="193"/>
      <c r="AP477" s="193" t="e">
        <f t="shared" ca="1" si="312"/>
        <v>#NAME?</v>
      </c>
      <c r="AQ477" s="200"/>
      <c r="AR477" s="204"/>
      <c r="AS477" s="204"/>
      <c r="AT477" s="204"/>
      <c r="AU477" s="204"/>
      <c r="AV477" s="204"/>
    </row>
    <row r="478" spans="1:48" ht="12" customHeight="1">
      <c r="A478" s="24"/>
      <c r="B478" s="24"/>
      <c r="C478" s="24"/>
      <c r="D478" s="24"/>
      <c r="E478" s="24"/>
      <c r="F478" s="24"/>
      <c r="G478" s="24"/>
      <c r="H478" s="393"/>
      <c r="I478" s="404"/>
      <c r="J478" s="281">
        <v>3</v>
      </c>
      <c r="K478" s="2" t="s">
        <v>224</v>
      </c>
      <c r="L478" s="112">
        <f t="shared" ref="L478:Z478" si="339">L479</f>
        <v>199882</v>
      </c>
      <c r="M478" s="112">
        <f t="shared" si="339"/>
        <v>26528.900391532286</v>
      </c>
      <c r="N478" s="113">
        <f t="shared" si="339"/>
        <v>179210</v>
      </c>
      <c r="O478" s="113">
        <f t="shared" si="339"/>
        <v>23785.254495985133</v>
      </c>
      <c r="P478" s="114">
        <f t="shared" si="339"/>
        <v>28500</v>
      </c>
      <c r="Q478" s="114">
        <f t="shared" si="339"/>
        <v>66700</v>
      </c>
      <c r="R478" s="88">
        <f t="shared" si="339"/>
        <v>62347</v>
      </c>
      <c r="S478" s="90" t="e">
        <f t="shared" ca="1" si="339"/>
        <v>#NAME?</v>
      </c>
      <c r="T478" s="90"/>
      <c r="U478" s="90"/>
      <c r="V478" s="200">
        <f>V479</f>
        <v>78600</v>
      </c>
      <c r="W478" s="200">
        <f t="shared" si="339"/>
        <v>78600</v>
      </c>
      <c r="X478" s="88">
        <f t="shared" si="339"/>
        <v>98000</v>
      </c>
      <c r="Y478" s="171">
        <f t="shared" si="339"/>
        <v>116000</v>
      </c>
      <c r="Z478" s="171">
        <f t="shared" si="339"/>
        <v>0</v>
      </c>
      <c r="AA478" s="370" t="e">
        <f t="shared" ca="1" si="313"/>
        <v>#NAME?</v>
      </c>
      <c r="AB478" s="171"/>
      <c r="AC478" s="172">
        <f>AC479</f>
        <v>29400</v>
      </c>
      <c r="AD478" s="172">
        <f>AD479</f>
        <v>29400</v>
      </c>
      <c r="AE478" s="178">
        <f>O478/M478*100</f>
        <v>89.657898159914339</v>
      </c>
      <c r="AF478" s="178">
        <f>P478/O478*100</f>
        <v>119.82213604151555</v>
      </c>
      <c r="AG478" s="178">
        <f>Q478/P478*100</f>
        <v>234.03508771929828</v>
      </c>
      <c r="AH478" s="178">
        <f>AC478/Q478*100</f>
        <v>44.077961019490253</v>
      </c>
      <c r="AI478" s="171"/>
      <c r="AJ478" s="171">
        <v>116000</v>
      </c>
      <c r="AK478" s="171">
        <f t="shared" si="336"/>
        <v>126.06861597189921</v>
      </c>
      <c r="AL478" s="171">
        <f t="shared" si="337"/>
        <v>124.68193384223918</v>
      </c>
      <c r="AM478" s="171">
        <f t="shared" si="337"/>
        <v>118.36734693877551</v>
      </c>
      <c r="AN478" s="90"/>
      <c r="AO478" s="193"/>
      <c r="AP478" s="193" t="e">
        <f t="shared" ca="1" si="312"/>
        <v>#NAME?</v>
      </c>
      <c r="AQ478" s="200">
        <f>AQ479</f>
        <v>34266.990000000005</v>
      </c>
      <c r="AR478" s="204">
        <f>V478/R478*100</f>
        <v>126.06861597189921</v>
      </c>
      <c r="AS478" s="204">
        <f t="shared" si="314"/>
        <v>100</v>
      </c>
      <c r="AT478" s="204">
        <f>W478/R478*100</f>
        <v>126.06861597189921</v>
      </c>
      <c r="AU478" s="204">
        <f t="shared" si="315"/>
        <v>43.596679389312982</v>
      </c>
      <c r="AV478" s="204">
        <f>AQ478/R478*100</f>
        <v>54.961730315813121</v>
      </c>
    </row>
    <row r="479" spans="1:48" ht="12" customHeight="1">
      <c r="A479" s="301"/>
      <c r="B479" s="301"/>
      <c r="C479" s="301"/>
      <c r="D479" s="301"/>
      <c r="E479" s="301"/>
      <c r="F479" s="301"/>
      <c r="G479" s="301"/>
      <c r="H479" s="307"/>
      <c r="I479" s="405"/>
      <c r="J479" s="302">
        <v>34</v>
      </c>
      <c r="K479" s="343" t="s">
        <v>264</v>
      </c>
      <c r="L479" s="112">
        <f t="shared" ref="L479:S479" si="340">L481+L484</f>
        <v>199882</v>
      </c>
      <c r="M479" s="112">
        <f t="shared" si="340"/>
        <v>26528.900391532286</v>
      </c>
      <c r="N479" s="113">
        <f t="shared" si="340"/>
        <v>179210</v>
      </c>
      <c r="O479" s="113">
        <f t="shared" si="340"/>
        <v>23785.254495985133</v>
      </c>
      <c r="P479" s="114">
        <f t="shared" si="340"/>
        <v>28500</v>
      </c>
      <c r="Q479" s="114">
        <f t="shared" si="340"/>
        <v>66700</v>
      </c>
      <c r="R479" s="88">
        <f t="shared" si="340"/>
        <v>62347</v>
      </c>
      <c r="S479" s="90" t="e">
        <f t="shared" ca="1" si="340"/>
        <v>#NAME?</v>
      </c>
      <c r="T479" s="90"/>
      <c r="U479" s="90"/>
      <c r="V479" s="200">
        <f>V481+V484</f>
        <v>78600</v>
      </c>
      <c r="W479" s="200">
        <f>W481+W484</f>
        <v>78600</v>
      </c>
      <c r="X479" s="88">
        <f>X481+X484</f>
        <v>98000</v>
      </c>
      <c r="Y479" s="171">
        <f>Y481+Y484</f>
        <v>116000</v>
      </c>
      <c r="Z479" s="171">
        <f>Z481+Z484</f>
        <v>0</v>
      </c>
      <c r="AA479" s="370" t="e">
        <f t="shared" ca="1" si="313"/>
        <v>#NAME?</v>
      </c>
      <c r="AB479" s="171"/>
      <c r="AC479" s="172">
        <f>AC481+AC484</f>
        <v>29400</v>
      </c>
      <c r="AD479" s="172">
        <f>AD481+AD484</f>
        <v>29400</v>
      </c>
      <c r="AE479" s="178">
        <f>O479/M479*100</f>
        <v>89.657898159914339</v>
      </c>
      <c r="AF479" s="178">
        <f>P479/O479*100</f>
        <v>119.82213604151555</v>
      </c>
      <c r="AG479" s="178">
        <f>Q479/P479*100</f>
        <v>234.03508771929828</v>
      </c>
      <c r="AH479" s="178">
        <f>AC479/Q479*100</f>
        <v>44.077961019490253</v>
      </c>
      <c r="AI479" s="171"/>
      <c r="AJ479" s="171">
        <v>116000</v>
      </c>
      <c r="AK479" s="171">
        <f t="shared" si="336"/>
        <v>126.06861597189921</v>
      </c>
      <c r="AL479" s="171">
        <f t="shared" si="337"/>
        <v>124.68193384223918</v>
      </c>
      <c r="AM479" s="171">
        <f t="shared" si="337"/>
        <v>118.36734693877551</v>
      </c>
      <c r="AN479" s="90"/>
      <c r="AO479" s="193"/>
      <c r="AP479" s="193" t="e">
        <f t="shared" ref="AP479:AP542" ca="1" si="341">__xlfn.ISFORMULA(X479)</f>
        <v>#NAME?</v>
      </c>
      <c r="AQ479" s="200">
        <f>AQ481+AQ484</f>
        <v>34266.990000000005</v>
      </c>
      <c r="AR479" s="204">
        <f>V479/R479*100</f>
        <v>126.06861597189921</v>
      </c>
      <c r="AS479" s="204">
        <f t="shared" si="314"/>
        <v>100</v>
      </c>
      <c r="AT479" s="204">
        <f>W479/R479*100</f>
        <v>126.06861597189921</v>
      </c>
      <c r="AU479" s="204">
        <f t="shared" si="315"/>
        <v>43.596679389312982</v>
      </c>
      <c r="AV479" s="204">
        <f>AQ479/R479*100</f>
        <v>54.961730315813121</v>
      </c>
    </row>
    <row r="480" spans="1:48" ht="12" customHeight="1">
      <c r="A480" s="24"/>
      <c r="B480" s="24"/>
      <c r="C480" s="24"/>
      <c r="D480" s="24"/>
      <c r="E480" s="24"/>
      <c r="F480" s="24"/>
      <c r="G480" s="24"/>
      <c r="H480" s="393"/>
      <c r="I480" s="404"/>
      <c r="J480" s="281"/>
      <c r="K480" s="2"/>
      <c r="L480" s="112"/>
      <c r="M480" s="112"/>
      <c r="N480" s="113"/>
      <c r="O480" s="113"/>
      <c r="P480" s="114"/>
      <c r="Q480" s="114"/>
      <c r="R480" s="88"/>
      <c r="S480" s="165" t="e">
        <f ca="1">__xlfn.XLOOKUP(H480,[1]Izvršenje_proračuna_po_pozicija!$B$2:$B$153,[1]Izvršenje_proračuna_po_pozicija!$E$2:$E$153,0)</f>
        <v>#NAME?</v>
      </c>
      <c r="T480" s="165"/>
      <c r="U480" s="165"/>
      <c r="V480" s="200"/>
      <c r="W480" s="200"/>
      <c r="X480" s="167"/>
      <c r="Y480" s="370"/>
      <c r="Z480" s="370"/>
      <c r="AA480" s="370" t="e">
        <f t="shared" ca="1" si="313"/>
        <v>#NAME?</v>
      </c>
      <c r="AB480" s="171"/>
      <c r="AC480" s="172"/>
      <c r="AD480" s="172"/>
      <c r="AE480" s="178"/>
      <c r="AF480" s="178"/>
      <c r="AG480" s="178"/>
      <c r="AH480" s="178"/>
      <c r="AI480" s="171"/>
      <c r="AJ480" s="370"/>
      <c r="AK480" s="171"/>
      <c r="AL480" s="171"/>
      <c r="AM480" s="171"/>
      <c r="AN480" s="90"/>
      <c r="AO480" s="193"/>
      <c r="AP480" s="193" t="e">
        <f t="shared" ca="1" si="341"/>
        <v>#NAME?</v>
      </c>
      <c r="AQ480" s="200"/>
      <c r="AR480" s="204"/>
      <c r="AS480" s="204"/>
      <c r="AT480" s="204"/>
      <c r="AU480" s="204"/>
      <c r="AV480" s="204"/>
    </row>
    <row r="481" spans="1:48" ht="12" customHeight="1">
      <c r="A481" s="439"/>
      <c r="B481" s="272"/>
      <c r="C481" s="272"/>
      <c r="D481" s="272"/>
      <c r="E481" s="272"/>
      <c r="F481" s="272"/>
      <c r="G481" s="272"/>
      <c r="H481" s="396"/>
      <c r="I481" s="416"/>
      <c r="J481" s="444">
        <v>342</v>
      </c>
      <c r="K481" s="445" t="s">
        <v>433</v>
      </c>
      <c r="L481" s="112">
        <f t="shared" ref="L481:Z481" si="342">L482</f>
        <v>14909</v>
      </c>
      <c r="M481" s="112">
        <f t="shared" si="342"/>
        <v>1978.7643506536597</v>
      </c>
      <c r="N481" s="113">
        <f t="shared" si="342"/>
        <v>14777</v>
      </c>
      <c r="O481" s="113">
        <f t="shared" si="342"/>
        <v>1961.244939942929</v>
      </c>
      <c r="P481" s="114">
        <f t="shared" si="342"/>
        <v>2700</v>
      </c>
      <c r="Q481" s="114">
        <f t="shared" si="342"/>
        <v>2700</v>
      </c>
      <c r="R481" s="88">
        <f t="shared" si="342"/>
        <v>382</v>
      </c>
      <c r="S481" s="90" t="e">
        <f t="shared" ca="1" si="342"/>
        <v>#NAME?</v>
      </c>
      <c r="T481" s="90"/>
      <c r="U481" s="90"/>
      <c r="V481" s="200">
        <f>V482</f>
        <v>600</v>
      </c>
      <c r="W481" s="200">
        <f t="shared" si="342"/>
        <v>600</v>
      </c>
      <c r="X481" s="88">
        <f t="shared" si="342"/>
        <v>1000</v>
      </c>
      <c r="Y481" s="171">
        <f t="shared" si="342"/>
        <v>1000</v>
      </c>
      <c r="Z481" s="171">
        <f t="shared" si="342"/>
        <v>0</v>
      </c>
      <c r="AA481" s="370" t="e">
        <f t="shared" ref="AA481:AA544" ca="1" si="343">__xlfn.ISFORMULA(R481)</f>
        <v>#NAME?</v>
      </c>
      <c r="AB481" s="171"/>
      <c r="AC481" s="172">
        <f>AC482</f>
        <v>2700</v>
      </c>
      <c r="AD481" s="172">
        <f>AD482</f>
        <v>2700</v>
      </c>
      <c r="AE481" s="178">
        <f>O481/M481*100</f>
        <v>99.114628747736262</v>
      </c>
      <c r="AF481" s="178">
        <f>P481/O481*100</f>
        <v>137.66765920010829</v>
      </c>
      <c r="AG481" s="178">
        <f>Q481/P481*100</f>
        <v>100</v>
      </c>
      <c r="AH481" s="178">
        <f>AC481/Q481*100</f>
        <v>100</v>
      </c>
      <c r="AI481" s="171"/>
      <c r="AJ481" s="171">
        <v>1000</v>
      </c>
      <c r="AK481" s="171">
        <f t="shared" si="336"/>
        <v>157.06806282722513</v>
      </c>
      <c r="AL481" s="171">
        <f t="shared" si="337"/>
        <v>166.66666666666669</v>
      </c>
      <c r="AM481" s="171">
        <f t="shared" si="337"/>
        <v>100</v>
      </c>
      <c r="AN481" s="90"/>
      <c r="AO481" s="193"/>
      <c r="AP481" s="193" t="e">
        <f t="shared" ca="1" si="341"/>
        <v>#NAME?</v>
      </c>
      <c r="AQ481" s="200">
        <f>AQ482</f>
        <v>466.87</v>
      </c>
      <c r="AR481" s="204">
        <f>V481/R481*100</f>
        <v>157.06806282722513</v>
      </c>
      <c r="AS481" s="204">
        <f t="shared" si="314"/>
        <v>100</v>
      </c>
      <c r="AT481" s="204">
        <f>W481/R481*100</f>
        <v>157.06806282722513</v>
      </c>
      <c r="AU481" s="204">
        <f t="shared" si="315"/>
        <v>77.811666666666667</v>
      </c>
      <c r="AV481" s="204">
        <f>AQ481/R481*100</f>
        <v>122.217277486911</v>
      </c>
    </row>
    <row r="482" spans="1:48" ht="12" customHeight="1">
      <c r="A482" s="53"/>
      <c r="B482" s="53"/>
      <c r="C482" s="53"/>
      <c r="D482" s="53"/>
      <c r="E482" s="53"/>
      <c r="F482" s="53"/>
      <c r="G482" s="53"/>
      <c r="H482" s="1" t="s">
        <v>434</v>
      </c>
      <c r="I482" s="345"/>
      <c r="J482" s="229">
        <v>3423</v>
      </c>
      <c r="K482" s="18" t="s">
        <v>266</v>
      </c>
      <c r="L482" s="130">
        <v>14909</v>
      </c>
      <c r="M482" s="130">
        <f>14909/7.5345</f>
        <v>1978.7643506536597</v>
      </c>
      <c r="N482" s="131">
        <v>14777</v>
      </c>
      <c r="O482" s="131">
        <f>N482/7.5345</f>
        <v>1961.244939942929</v>
      </c>
      <c r="P482" s="132">
        <v>2700</v>
      </c>
      <c r="Q482" s="132">
        <v>2700</v>
      </c>
      <c r="R482" s="159">
        <v>382</v>
      </c>
      <c r="S482" s="165" t="e">
        <f ca="1">__xlfn.XLOOKUP(H482,[1]Izvršenje_proračuna_po_pozicija!$B$2:$B$153,[1]Izvršenje_proračuna_po_pozicija!$E$2:$E$153,0)</f>
        <v>#NAME?</v>
      </c>
      <c r="T482" s="165"/>
      <c r="U482" s="165"/>
      <c r="V482" s="200">
        <v>600</v>
      </c>
      <c r="W482" s="200">
        <v>600</v>
      </c>
      <c r="X482" s="164">
        <v>1000</v>
      </c>
      <c r="Y482" s="378">
        <v>1000</v>
      </c>
      <c r="Z482" s="378"/>
      <c r="AA482" s="370" t="e">
        <f t="shared" ca="1" si="343"/>
        <v>#NAME?</v>
      </c>
      <c r="AB482" s="183"/>
      <c r="AC482" s="178">
        <v>2700</v>
      </c>
      <c r="AD482" s="178">
        <v>2700</v>
      </c>
      <c r="AE482" s="178">
        <f>O482/M482*100</f>
        <v>99.114628747736262</v>
      </c>
      <c r="AF482" s="178">
        <f>P482/O482*100</f>
        <v>137.66765920010829</v>
      </c>
      <c r="AG482" s="178">
        <f>Q482/P482*100</f>
        <v>100</v>
      </c>
      <c r="AH482" s="178">
        <f>AC482/Q482*100</f>
        <v>100</v>
      </c>
      <c r="AI482" s="183"/>
      <c r="AJ482" s="378">
        <v>1000</v>
      </c>
      <c r="AK482" s="171">
        <f t="shared" si="336"/>
        <v>157.06806282722513</v>
      </c>
      <c r="AL482" s="171">
        <f t="shared" si="337"/>
        <v>166.66666666666669</v>
      </c>
      <c r="AM482" s="171">
        <f t="shared" si="337"/>
        <v>100</v>
      </c>
      <c r="AN482" s="165"/>
      <c r="AO482" s="193"/>
      <c r="AP482" s="193" t="e">
        <f t="shared" ca="1" si="341"/>
        <v>#NAME?</v>
      </c>
      <c r="AQ482" s="200">
        <v>466.87</v>
      </c>
      <c r="AR482" s="204">
        <f>V482/R482*100</f>
        <v>157.06806282722513</v>
      </c>
      <c r="AS482" s="204">
        <f t="shared" si="314"/>
        <v>100</v>
      </c>
      <c r="AT482" s="204">
        <f>W482/R482*100</f>
        <v>157.06806282722513</v>
      </c>
      <c r="AU482" s="204">
        <f t="shared" si="315"/>
        <v>77.811666666666667</v>
      </c>
      <c r="AV482" s="204">
        <f>AQ482/R482*100</f>
        <v>122.217277486911</v>
      </c>
    </row>
    <row r="483" spans="1:48" ht="12" customHeight="1">
      <c r="A483" s="69"/>
      <c r="B483" s="69"/>
      <c r="C483" s="69"/>
      <c r="D483" s="69"/>
      <c r="E483" s="69"/>
      <c r="F483" s="69"/>
      <c r="G483" s="69"/>
      <c r="H483" s="436"/>
      <c r="I483" s="3"/>
      <c r="J483" s="7"/>
      <c r="K483" s="7"/>
      <c r="L483" s="85"/>
      <c r="M483" s="85"/>
      <c r="N483" s="86"/>
      <c r="O483" s="86"/>
      <c r="P483" s="87"/>
      <c r="Q483" s="87"/>
      <c r="R483" s="160"/>
      <c r="S483" s="165" t="e">
        <f ca="1">__xlfn.XLOOKUP(H483,[1]Izvršenje_proračuna_po_pozicija!$B$2:$B$153,[1]Izvršenje_proračuna_po_pozicija!$E$2:$E$153,0)</f>
        <v>#NAME?</v>
      </c>
      <c r="T483" s="165"/>
      <c r="U483" s="165"/>
      <c r="V483" s="200"/>
      <c r="W483" s="200"/>
      <c r="X483" s="361"/>
      <c r="Y483" s="373"/>
      <c r="Z483" s="373"/>
      <c r="AA483" s="370" t="e">
        <f t="shared" ca="1" si="343"/>
        <v>#NAME?</v>
      </c>
      <c r="AB483" s="181"/>
      <c r="AC483" s="182"/>
      <c r="AD483" s="182"/>
      <c r="AE483" s="178"/>
      <c r="AF483" s="178"/>
      <c r="AG483" s="178"/>
      <c r="AH483" s="178"/>
      <c r="AI483" s="181"/>
      <c r="AJ483" s="373"/>
      <c r="AK483" s="171"/>
      <c r="AL483" s="171"/>
      <c r="AM483" s="171"/>
      <c r="AN483" s="161"/>
      <c r="AO483" s="193"/>
      <c r="AP483" s="193" t="e">
        <f t="shared" ca="1" si="341"/>
        <v>#NAME?</v>
      </c>
      <c r="AQ483" s="200"/>
      <c r="AR483" s="204"/>
      <c r="AS483" s="204"/>
      <c r="AT483" s="204"/>
      <c r="AU483" s="204"/>
      <c r="AV483" s="204"/>
    </row>
    <row r="484" spans="1:48" ht="12" customHeight="1">
      <c r="A484" s="62"/>
      <c r="B484" s="62"/>
      <c r="C484" s="62"/>
      <c r="D484" s="62"/>
      <c r="E484" s="62"/>
      <c r="F484" s="62"/>
      <c r="G484" s="62"/>
      <c r="H484" s="304"/>
      <c r="I484" s="346"/>
      <c r="J484" s="303">
        <v>343</v>
      </c>
      <c r="K484" s="19" t="s">
        <v>435</v>
      </c>
      <c r="L484" s="112">
        <f t="shared" ref="L484:S484" si="344">L485+L486+L487+L488+L489</f>
        <v>184973</v>
      </c>
      <c r="M484" s="112">
        <f t="shared" si="344"/>
        <v>24550.136040878628</v>
      </c>
      <c r="N484" s="113">
        <f t="shared" si="344"/>
        <v>164433</v>
      </c>
      <c r="O484" s="113">
        <f t="shared" si="344"/>
        <v>21824.009556042205</v>
      </c>
      <c r="P484" s="114">
        <f t="shared" si="344"/>
        <v>25800</v>
      </c>
      <c r="Q484" s="114">
        <f t="shared" si="344"/>
        <v>64000</v>
      </c>
      <c r="R484" s="88">
        <f t="shared" si="344"/>
        <v>61965</v>
      </c>
      <c r="S484" s="90" t="e">
        <f t="shared" ca="1" si="344"/>
        <v>#NAME?</v>
      </c>
      <c r="T484" s="90"/>
      <c r="U484" s="90"/>
      <c r="V484" s="200">
        <f>V485+V486+V487+V488+V489</f>
        <v>78000</v>
      </c>
      <c r="W484" s="200">
        <f>W485+W486+W487+W488+W489</f>
        <v>78000</v>
      </c>
      <c r="X484" s="88">
        <f>X485+X486+X487+X488+X489</f>
        <v>97000</v>
      </c>
      <c r="Y484" s="171">
        <f>Y485+Y486+Y487+Y488+Y489</f>
        <v>115000</v>
      </c>
      <c r="Z484" s="171">
        <f>Z485+Z486+Z487+Z488+Z489</f>
        <v>0</v>
      </c>
      <c r="AA484" s="370" t="e">
        <f t="shared" ca="1" si="343"/>
        <v>#NAME?</v>
      </c>
      <c r="AB484" s="171"/>
      <c r="AC484" s="172">
        <f>AC485+AC486+AC487+AC488+AC489</f>
        <v>26700</v>
      </c>
      <c r="AD484" s="172">
        <f>AD485+AD486+AD487+AD488+AD489</f>
        <v>26700</v>
      </c>
      <c r="AE484" s="178">
        <f>O484/M484*100</f>
        <v>88.895676666324263</v>
      </c>
      <c r="AF484" s="178">
        <f>P484/O484*100</f>
        <v>118.21842330918977</v>
      </c>
      <c r="AG484" s="178">
        <f>Q484/P484*100</f>
        <v>248.06201550387595</v>
      </c>
      <c r="AH484" s="178">
        <f>AC484/Q484*100</f>
        <v>41.71875</v>
      </c>
      <c r="AI484" s="171"/>
      <c r="AJ484" s="171">
        <v>115000</v>
      </c>
      <c r="AK484" s="171">
        <f t="shared" si="336"/>
        <v>125.87751149842654</v>
      </c>
      <c r="AL484" s="171">
        <f t="shared" si="337"/>
        <v>124.35897435897436</v>
      </c>
      <c r="AM484" s="171">
        <f t="shared" si="337"/>
        <v>118.55670103092784</v>
      </c>
      <c r="AN484" s="90"/>
      <c r="AO484" s="193"/>
      <c r="AP484" s="193" t="e">
        <f t="shared" ca="1" si="341"/>
        <v>#NAME?</v>
      </c>
      <c r="AQ484" s="200">
        <f>AQ485+AQ486+AQ487+AQ488+AQ489</f>
        <v>33800.120000000003</v>
      </c>
      <c r="AR484" s="204">
        <f>V484/R484*100</f>
        <v>125.87751149842654</v>
      </c>
      <c r="AS484" s="204">
        <f>W484/V484*100</f>
        <v>100</v>
      </c>
      <c r="AT484" s="204">
        <f>W484/R484*100</f>
        <v>125.87751149842654</v>
      </c>
      <c r="AU484" s="204">
        <f>AQ484/W484*100</f>
        <v>43.333487179487186</v>
      </c>
      <c r="AV484" s="204">
        <f>AQ484/R484*100</f>
        <v>54.547115307028157</v>
      </c>
    </row>
    <row r="485" spans="1:48" ht="12" customHeight="1">
      <c r="A485" s="53"/>
      <c r="B485" s="53"/>
      <c r="C485" s="53"/>
      <c r="D485" s="53"/>
      <c r="E485" s="53"/>
      <c r="F485" s="53"/>
      <c r="G485" s="53"/>
      <c r="H485" s="1">
        <v>27</v>
      </c>
      <c r="I485" s="345">
        <v>112</v>
      </c>
      <c r="J485" s="229">
        <v>3431</v>
      </c>
      <c r="K485" s="18" t="s">
        <v>436</v>
      </c>
      <c r="L485" s="130">
        <v>48866</v>
      </c>
      <c r="M485" s="130">
        <f>48866/7.5345</f>
        <v>6485.632755989116</v>
      </c>
      <c r="N485" s="131">
        <v>42694</v>
      </c>
      <c r="O485" s="131">
        <f>N485/7.5345</f>
        <v>5666.4675824540445</v>
      </c>
      <c r="P485" s="132">
        <v>6000</v>
      </c>
      <c r="Q485" s="163">
        <v>7000</v>
      </c>
      <c r="R485" s="159">
        <v>7983</v>
      </c>
      <c r="S485" s="165">
        <v>7326</v>
      </c>
      <c r="T485" s="165"/>
      <c r="U485" s="165"/>
      <c r="V485" s="200">
        <v>9000</v>
      </c>
      <c r="W485" s="200">
        <v>9000</v>
      </c>
      <c r="X485" s="164">
        <v>10000</v>
      </c>
      <c r="Y485" s="378">
        <v>11000</v>
      </c>
      <c r="Z485" s="378"/>
      <c r="AA485" s="370" t="e">
        <f t="shared" ca="1" si="343"/>
        <v>#NAME?</v>
      </c>
      <c r="AB485" s="183"/>
      <c r="AC485" s="178">
        <v>6000</v>
      </c>
      <c r="AD485" s="178">
        <v>6000</v>
      </c>
      <c r="AE485" s="178">
        <f>O485/M485*100</f>
        <v>87.369541194286427</v>
      </c>
      <c r="AF485" s="178">
        <f>P485/O485*100</f>
        <v>105.88607298449431</v>
      </c>
      <c r="AG485" s="178">
        <f>Q485/P485*100</f>
        <v>116.66666666666667</v>
      </c>
      <c r="AH485" s="178">
        <f>AC485/Q485*100</f>
        <v>85.714285714285708</v>
      </c>
      <c r="AI485" s="183"/>
      <c r="AJ485" s="378">
        <v>11000</v>
      </c>
      <c r="AK485" s="171">
        <f t="shared" si="336"/>
        <v>112.73957158962796</v>
      </c>
      <c r="AL485" s="171">
        <f t="shared" si="337"/>
        <v>111.11111111111111</v>
      </c>
      <c r="AM485" s="171">
        <f t="shared" si="337"/>
        <v>110.00000000000001</v>
      </c>
      <c r="AN485" s="165"/>
      <c r="AO485" s="193"/>
      <c r="AP485" s="193" t="e">
        <f t="shared" ca="1" si="341"/>
        <v>#NAME?</v>
      </c>
      <c r="AQ485" s="200">
        <v>9747.94</v>
      </c>
      <c r="AR485" s="204">
        <f>V485/R485*100</f>
        <v>112.73957158962796</v>
      </c>
      <c r="AS485" s="204">
        <f>W485/V485*100</f>
        <v>100</v>
      </c>
      <c r="AT485" s="204">
        <f>W485/R485*100</f>
        <v>112.73957158962796</v>
      </c>
      <c r="AU485" s="204">
        <f>AQ485/W485*100</f>
        <v>108.31044444444444</v>
      </c>
      <c r="AV485" s="204">
        <f>AQ485/R485*100</f>
        <v>122.10873105348867</v>
      </c>
    </row>
    <row r="486" spans="1:48" ht="12" customHeight="1">
      <c r="A486" s="53"/>
      <c r="B486" s="53"/>
      <c r="C486" s="53"/>
      <c r="D486" s="53"/>
      <c r="E486" s="53"/>
      <c r="F486" s="53"/>
      <c r="G486" s="53"/>
      <c r="H486" s="1" t="s">
        <v>437</v>
      </c>
      <c r="I486" s="345">
        <v>112</v>
      </c>
      <c r="J486" s="229">
        <v>3433</v>
      </c>
      <c r="K486" s="18" t="s">
        <v>438</v>
      </c>
      <c r="L486" s="130">
        <v>57488</v>
      </c>
      <c r="M486" s="130">
        <f>57488/7.5345</f>
        <v>7629.9688101400225</v>
      </c>
      <c r="N486" s="131">
        <v>2530</v>
      </c>
      <c r="O486" s="131">
        <f>N486/7.5345</f>
        <v>335.78870528900387</v>
      </c>
      <c r="P486" s="132">
        <v>4000</v>
      </c>
      <c r="Q486" s="132">
        <v>4000</v>
      </c>
      <c r="R486" s="159">
        <v>537</v>
      </c>
      <c r="S486" s="165" t="e">
        <f ca="1">__xlfn.XLOOKUP(H486,[1]Izvršenje_proračuna_po_pozicija!$B$2:$B$153,[1]Izvršenje_proračuna_po_pozicija!$E$2:$E$153,0)</f>
        <v>#NAME?</v>
      </c>
      <c r="T486" s="165"/>
      <c r="U486" s="165"/>
      <c r="V486" s="200">
        <v>4000</v>
      </c>
      <c r="W486" s="200">
        <v>4000</v>
      </c>
      <c r="X486" s="164">
        <v>4000</v>
      </c>
      <c r="Y486" s="378">
        <v>4000</v>
      </c>
      <c r="Z486" s="378"/>
      <c r="AA486" s="370" t="e">
        <f t="shared" ca="1" si="343"/>
        <v>#NAME?</v>
      </c>
      <c r="AB486" s="183"/>
      <c r="AC486" s="178">
        <v>4000</v>
      </c>
      <c r="AD486" s="178">
        <v>4000</v>
      </c>
      <c r="AE486" s="178">
        <f>O486/M486*100</f>
        <v>4.4009184525466178</v>
      </c>
      <c r="AF486" s="178"/>
      <c r="AG486" s="178"/>
      <c r="AH486" s="178"/>
      <c r="AI486" s="183"/>
      <c r="AJ486" s="378">
        <v>4000</v>
      </c>
      <c r="AK486" s="171">
        <f t="shared" si="336"/>
        <v>744.87895716946002</v>
      </c>
      <c r="AL486" s="171">
        <f t="shared" si="337"/>
        <v>100</v>
      </c>
      <c r="AM486" s="171">
        <f t="shared" si="337"/>
        <v>100</v>
      </c>
      <c r="AN486" s="165"/>
      <c r="AO486" s="193"/>
      <c r="AP486" s="193" t="e">
        <f t="shared" ca="1" si="341"/>
        <v>#NAME?</v>
      </c>
      <c r="AQ486" s="200">
        <v>571.34</v>
      </c>
      <c r="AR486" s="204">
        <f>V486/R486*100</f>
        <v>744.87895716946002</v>
      </c>
      <c r="AS486" s="204">
        <f>W486/V486*100</f>
        <v>100</v>
      </c>
      <c r="AT486" s="204">
        <f>W486/R486*100</f>
        <v>744.87895716946002</v>
      </c>
      <c r="AU486" s="204">
        <f>AQ486/W486*100</f>
        <v>14.283500000000002</v>
      </c>
      <c r="AV486" s="204">
        <f>AQ486/R486*100</f>
        <v>106.39478584729983</v>
      </c>
    </row>
    <row r="487" spans="1:48" ht="12" customHeight="1">
      <c r="A487" s="53"/>
      <c r="B487" s="53"/>
      <c r="C487" s="53"/>
      <c r="D487" s="53"/>
      <c r="E487" s="53"/>
      <c r="F487" s="53"/>
      <c r="G487" s="53"/>
      <c r="H487" s="1" t="s">
        <v>439</v>
      </c>
      <c r="I487" s="345">
        <v>112</v>
      </c>
      <c r="J487" s="229">
        <v>3434</v>
      </c>
      <c r="K487" s="18" t="s">
        <v>440</v>
      </c>
      <c r="L487" s="130">
        <v>72619</v>
      </c>
      <c r="M487" s="130">
        <f>72619/7.5345</f>
        <v>9638.1976242617293</v>
      </c>
      <c r="N487" s="131">
        <v>111771</v>
      </c>
      <c r="O487" s="131">
        <f>N487/7.5345</f>
        <v>14834.561019311168</v>
      </c>
      <c r="P487" s="132">
        <v>13100</v>
      </c>
      <c r="Q487" s="163">
        <v>18000</v>
      </c>
      <c r="R487" s="159">
        <v>18226</v>
      </c>
      <c r="S487" s="165" t="e">
        <f ca="1">__xlfn.XLOOKUP(H487,[1]Izvršenje_proračuna_po_pozicija!$B$2:$B$153,[1]Izvršenje_proračuna_po_pozicija!$E$2:$E$153,0)</f>
        <v>#NAME?</v>
      </c>
      <c r="T487" s="165"/>
      <c r="U487" s="165"/>
      <c r="V487" s="200">
        <v>23000</v>
      </c>
      <c r="W487" s="200">
        <v>23000</v>
      </c>
      <c r="X487" s="164">
        <v>28000</v>
      </c>
      <c r="Y487" s="378">
        <v>35000</v>
      </c>
      <c r="Z487" s="378"/>
      <c r="AA487" s="370" t="e">
        <f t="shared" ca="1" si="343"/>
        <v>#NAME?</v>
      </c>
      <c r="AB487" s="183"/>
      <c r="AC487" s="178">
        <v>14000</v>
      </c>
      <c r="AD487" s="178">
        <v>14000</v>
      </c>
      <c r="AE487" s="178">
        <f>O487/M487*100</f>
        <v>153.91426486181302</v>
      </c>
      <c r="AF487" s="178"/>
      <c r="AG487" s="178"/>
      <c r="AH487" s="178"/>
      <c r="AI487" s="183"/>
      <c r="AJ487" s="378">
        <v>35000</v>
      </c>
      <c r="AK487" s="171">
        <f t="shared" si="336"/>
        <v>126.19335015911335</v>
      </c>
      <c r="AL487" s="171">
        <f t="shared" si="337"/>
        <v>121.73913043478262</v>
      </c>
      <c r="AM487" s="171">
        <f t="shared" si="337"/>
        <v>125</v>
      </c>
      <c r="AN487" s="165"/>
      <c r="AO487" s="193"/>
      <c r="AP487" s="193" t="e">
        <f t="shared" ca="1" si="341"/>
        <v>#NAME?</v>
      </c>
      <c r="AQ487" s="200">
        <v>23454.36</v>
      </c>
      <c r="AR487" s="204">
        <f>V487/R487*100</f>
        <v>126.19335015911335</v>
      </c>
      <c r="AS487" s="204">
        <f>W487/V487*100</f>
        <v>100</v>
      </c>
      <c r="AT487" s="204">
        <f>W487/R487*100</f>
        <v>126.19335015911335</v>
      </c>
      <c r="AU487" s="204">
        <f>AQ487/W487*100</f>
        <v>101.97547826086956</v>
      </c>
      <c r="AV487" s="204">
        <f>AQ487/R487*100</f>
        <v>128.68627235816965</v>
      </c>
    </row>
    <row r="488" spans="1:48" ht="12" customHeight="1">
      <c r="A488" s="53"/>
      <c r="B488" s="53"/>
      <c r="C488" s="53"/>
      <c r="D488" s="53"/>
      <c r="E488" s="53"/>
      <c r="F488" s="53"/>
      <c r="G488" s="53"/>
      <c r="H488" s="1" t="s">
        <v>441</v>
      </c>
      <c r="I488" s="345">
        <v>112</v>
      </c>
      <c r="J488" s="229">
        <v>3434</v>
      </c>
      <c r="K488" s="18" t="s">
        <v>442</v>
      </c>
      <c r="L488" s="130">
        <v>0</v>
      </c>
      <c r="M488" s="130">
        <v>0</v>
      </c>
      <c r="N488" s="131">
        <v>0</v>
      </c>
      <c r="O488" s="131">
        <f>N488/7.5345</f>
        <v>0</v>
      </c>
      <c r="P488" s="132">
        <v>0</v>
      </c>
      <c r="Q488" s="132">
        <v>0</v>
      </c>
      <c r="R488" s="159">
        <v>0</v>
      </c>
      <c r="S488" s="165" t="e">
        <f ca="1">__xlfn.XLOOKUP(H488,[1]Izvršenje_proračuna_po_pozicija!$B$2:$B$153,[1]Izvršenje_proračuna_po_pozicija!$E$2:$E$153,0)</f>
        <v>#NAME?</v>
      </c>
      <c r="T488" s="165"/>
      <c r="U488" s="165"/>
      <c r="V488" s="200"/>
      <c r="W488" s="200"/>
      <c r="X488" s="164"/>
      <c r="Y488" s="378"/>
      <c r="Z488" s="378"/>
      <c r="AA488" s="370" t="e">
        <f t="shared" ca="1" si="343"/>
        <v>#NAME?</v>
      </c>
      <c r="AB488" s="183"/>
      <c r="AC488" s="178">
        <v>0</v>
      </c>
      <c r="AD488" s="178">
        <v>0</v>
      </c>
      <c r="AE488" s="178"/>
      <c r="AF488" s="178"/>
      <c r="AG488" s="178"/>
      <c r="AH488" s="178"/>
      <c r="AI488" s="183"/>
      <c r="AJ488" s="378"/>
      <c r="AK488" s="171"/>
      <c r="AL488" s="171"/>
      <c r="AM488" s="171"/>
      <c r="AN488" s="165"/>
      <c r="AO488" s="193"/>
      <c r="AP488" s="193" t="e">
        <f t="shared" ca="1" si="341"/>
        <v>#NAME?</v>
      </c>
      <c r="AQ488" s="200"/>
      <c r="AR488" s="204"/>
      <c r="AS488" s="204"/>
      <c r="AT488" s="204"/>
      <c r="AU488" s="204"/>
      <c r="AV488" s="204"/>
    </row>
    <row r="489" spans="1:48" ht="12" customHeight="1">
      <c r="A489" s="53"/>
      <c r="B489" s="53"/>
      <c r="C489" s="53"/>
      <c r="D489" s="53"/>
      <c r="E489" s="53"/>
      <c r="F489" s="53"/>
      <c r="G489" s="53"/>
      <c r="H489" s="1" t="s">
        <v>443</v>
      </c>
      <c r="I489" s="345">
        <v>112</v>
      </c>
      <c r="J489" s="229">
        <v>3434</v>
      </c>
      <c r="K489" s="18" t="s">
        <v>444</v>
      </c>
      <c r="L489" s="130">
        <v>6000</v>
      </c>
      <c r="M489" s="130">
        <f>6000/7.5345</f>
        <v>796.33685048775624</v>
      </c>
      <c r="N489" s="131">
        <v>7438</v>
      </c>
      <c r="O489" s="131">
        <f>N489/7.5345</f>
        <v>987.19224898798848</v>
      </c>
      <c r="P489" s="132">
        <v>2700</v>
      </c>
      <c r="Q489" s="163">
        <v>35000</v>
      </c>
      <c r="R489" s="159">
        <v>35219</v>
      </c>
      <c r="S489" s="165" t="e">
        <f ca="1">__xlfn.XLOOKUP(H489,[1]Izvršenje_proračuna_po_pozicija!$B$2:$B$153,[1]Izvršenje_proračuna_po_pozicija!$E$2:$E$153,0)</f>
        <v>#NAME?</v>
      </c>
      <c r="T489" s="165"/>
      <c r="U489" s="165"/>
      <c r="V489" s="200">
        <v>42000</v>
      </c>
      <c r="W489" s="200">
        <v>42000</v>
      </c>
      <c r="X489" s="164">
        <v>55000</v>
      </c>
      <c r="Y489" s="378">
        <v>65000</v>
      </c>
      <c r="Z489" s="378"/>
      <c r="AA489" s="370" t="e">
        <f t="shared" ca="1" si="343"/>
        <v>#NAME?</v>
      </c>
      <c r="AB489" s="183"/>
      <c r="AC489" s="178">
        <v>2700</v>
      </c>
      <c r="AD489" s="178">
        <v>2700</v>
      </c>
      <c r="AE489" s="178">
        <f>O489/M489*100</f>
        <v>123.96666666666667</v>
      </c>
      <c r="AF489" s="178"/>
      <c r="AG489" s="178"/>
      <c r="AH489" s="178"/>
      <c r="AI489" s="183"/>
      <c r="AJ489" s="378">
        <v>65000</v>
      </c>
      <c r="AK489" s="171">
        <f t="shared" si="336"/>
        <v>119.2538118629149</v>
      </c>
      <c r="AL489" s="171">
        <f t="shared" si="337"/>
        <v>130.95238095238096</v>
      </c>
      <c r="AM489" s="171">
        <f t="shared" si="337"/>
        <v>118.18181818181819</v>
      </c>
      <c r="AN489" s="165"/>
      <c r="AO489" s="193"/>
      <c r="AP489" s="193" t="e">
        <f t="shared" ca="1" si="341"/>
        <v>#NAME?</v>
      </c>
      <c r="AQ489" s="200">
        <v>26.48</v>
      </c>
      <c r="AR489" s="204">
        <f>V489/R489*100</f>
        <v>119.2538118629149</v>
      </c>
      <c r="AS489" s="204">
        <f>W489/V489*100</f>
        <v>100</v>
      </c>
      <c r="AT489" s="204">
        <f>W489/R489*100</f>
        <v>119.2538118629149</v>
      </c>
      <c r="AU489" s="204">
        <f>AQ489/W489*100</f>
        <v>6.3047619047619047E-2</v>
      </c>
      <c r="AV489" s="204">
        <f>AQ489/R489*100</f>
        <v>7.5186689003094928E-2</v>
      </c>
    </row>
    <row r="490" spans="1:48" ht="12" customHeight="1">
      <c r="A490" s="42"/>
      <c r="B490" s="42"/>
      <c r="C490" s="42"/>
      <c r="D490" s="42"/>
      <c r="E490" s="42"/>
      <c r="F490" s="42"/>
      <c r="G490" s="42"/>
      <c r="H490" s="308"/>
      <c r="I490" s="14"/>
      <c r="J490" s="2"/>
      <c r="K490" s="84"/>
      <c r="L490" s="85"/>
      <c r="M490" s="85"/>
      <c r="N490" s="86"/>
      <c r="O490" s="86"/>
      <c r="P490" s="87"/>
      <c r="Q490" s="87"/>
      <c r="R490" s="160"/>
      <c r="S490" s="165" t="e">
        <f ca="1">__xlfn.XLOOKUP(H490,[1]Izvršenje_proračuna_po_pozicija!$B$2:$B$153,[1]Izvršenje_proračuna_po_pozicija!$E$2:$E$153,0)</f>
        <v>#NAME?</v>
      </c>
      <c r="T490" s="165"/>
      <c r="U490" s="165"/>
      <c r="V490" s="200"/>
      <c r="W490" s="200"/>
      <c r="X490" s="361"/>
      <c r="Y490" s="373"/>
      <c r="Z490" s="373"/>
      <c r="AA490" s="370" t="e">
        <f t="shared" ca="1" si="343"/>
        <v>#NAME?</v>
      </c>
      <c r="AB490" s="181"/>
      <c r="AC490" s="182"/>
      <c r="AD490" s="182"/>
      <c r="AE490" s="178"/>
      <c r="AF490" s="178"/>
      <c r="AG490" s="178"/>
      <c r="AH490" s="178"/>
      <c r="AI490" s="181"/>
      <c r="AJ490" s="373"/>
      <c r="AK490" s="171"/>
      <c r="AL490" s="171"/>
      <c r="AM490" s="171"/>
      <c r="AN490" s="161"/>
      <c r="AO490" s="193"/>
      <c r="AP490" s="193" t="e">
        <f t="shared" ca="1" si="341"/>
        <v>#NAME?</v>
      </c>
      <c r="AQ490" s="200"/>
      <c r="AR490" s="204"/>
      <c r="AS490" s="204"/>
      <c r="AT490" s="204"/>
      <c r="AU490" s="204"/>
      <c r="AV490" s="204"/>
    </row>
    <row r="491" spans="1:48" ht="12" customHeight="1">
      <c r="A491" s="437"/>
      <c r="B491" s="437"/>
      <c r="C491" s="437"/>
      <c r="D491" s="437"/>
      <c r="E491" s="437"/>
      <c r="F491" s="437"/>
      <c r="G491" s="437"/>
      <c r="H491" s="438"/>
      <c r="I491" s="443" t="s">
        <v>445</v>
      </c>
      <c r="J491" s="338"/>
      <c r="K491" s="280"/>
      <c r="L491" s="112">
        <f t="shared" ref="L491:S491" si="345">L492+L499+L516</f>
        <v>609673</v>
      </c>
      <c r="M491" s="112">
        <f t="shared" si="345"/>
        <v>80917.512774570307</v>
      </c>
      <c r="N491" s="113">
        <f t="shared" si="345"/>
        <v>1049986</v>
      </c>
      <c r="O491" s="113">
        <f t="shared" si="345"/>
        <v>139357.09071603956</v>
      </c>
      <c r="P491" s="114">
        <f t="shared" si="345"/>
        <v>142700</v>
      </c>
      <c r="Q491" s="114">
        <f t="shared" si="345"/>
        <v>204200</v>
      </c>
      <c r="R491" s="88">
        <f t="shared" si="345"/>
        <v>200252</v>
      </c>
      <c r="S491" s="90" t="e">
        <f t="shared" ca="1" si="345"/>
        <v>#NAME?</v>
      </c>
      <c r="T491" s="90"/>
      <c r="U491" s="90"/>
      <c r="V491" s="200">
        <f>V492+V499+V516</f>
        <v>199200</v>
      </c>
      <c r="W491" s="200">
        <f>W492+W499+W516</f>
        <v>199200</v>
      </c>
      <c r="X491" s="88">
        <f>X492+X499+X516</f>
        <v>144400</v>
      </c>
      <c r="Y491" s="171">
        <f>Y492+Y499+Y516</f>
        <v>155000</v>
      </c>
      <c r="Z491" s="171">
        <f>Z492+Z499+Z516</f>
        <v>0</v>
      </c>
      <c r="AA491" s="370" t="e">
        <f t="shared" ca="1" si="343"/>
        <v>#NAME?</v>
      </c>
      <c r="AB491" s="171"/>
      <c r="AC491" s="172">
        <f>AC492+AC499+AC516</f>
        <v>143500</v>
      </c>
      <c r="AD491" s="172">
        <f>AD492+AD499+AD516</f>
        <v>143500</v>
      </c>
      <c r="AE491" s="178">
        <f>O491/M491*100</f>
        <v>172.22117430163385</v>
      </c>
      <c r="AF491" s="178">
        <f>P491/O491*100</f>
        <v>102.39880817458517</v>
      </c>
      <c r="AG491" s="178">
        <f>Q491/P491*100</f>
        <v>143.09740714786267</v>
      </c>
      <c r="AH491" s="178">
        <f>AC491/Q491*100</f>
        <v>70.274240940254657</v>
      </c>
      <c r="AI491" s="171"/>
      <c r="AJ491" s="171">
        <v>155000</v>
      </c>
      <c r="AK491" s="171">
        <f t="shared" si="336"/>
        <v>99.47466192597328</v>
      </c>
      <c r="AL491" s="171">
        <f t="shared" si="337"/>
        <v>72.489959839357425</v>
      </c>
      <c r="AM491" s="171">
        <f t="shared" si="337"/>
        <v>107.34072022160666</v>
      </c>
      <c r="AN491" s="90"/>
      <c r="AO491" s="193"/>
      <c r="AP491" s="193" t="e">
        <f t="shared" ca="1" si="341"/>
        <v>#NAME?</v>
      </c>
      <c r="AQ491" s="200">
        <f>AQ492+AQ499+AQ516</f>
        <v>192622.64</v>
      </c>
      <c r="AR491" s="204">
        <f>V491/R491*100</f>
        <v>99.47466192597328</v>
      </c>
      <c r="AS491" s="204">
        <f>W491/V491*100</f>
        <v>100</v>
      </c>
      <c r="AT491" s="204">
        <f>W491/R491*100</f>
        <v>99.47466192597328</v>
      </c>
      <c r="AU491" s="204">
        <f>AQ491/W491*100</f>
        <v>96.698112449799197</v>
      </c>
      <c r="AV491" s="204">
        <f>AQ491/R491*100</f>
        <v>96.190120448235234</v>
      </c>
    </row>
    <row r="492" spans="1:48" ht="12" customHeight="1">
      <c r="A492" s="390" t="s">
        <v>331</v>
      </c>
      <c r="B492" s="391"/>
      <c r="C492" s="391"/>
      <c r="D492" s="391"/>
      <c r="E492" s="391"/>
      <c r="F492" s="391"/>
      <c r="G492" s="391"/>
      <c r="H492" s="392"/>
      <c r="I492" s="403" t="s">
        <v>446</v>
      </c>
      <c r="J492" s="339"/>
      <c r="K492" s="340"/>
      <c r="L492" s="112">
        <f t="shared" ref="L492:S492" si="346">L494</f>
        <v>0</v>
      </c>
      <c r="M492" s="112">
        <f t="shared" si="346"/>
        <v>0</v>
      </c>
      <c r="N492" s="113">
        <f t="shared" si="346"/>
        <v>0</v>
      </c>
      <c r="O492" s="113">
        <f t="shared" si="346"/>
        <v>0</v>
      </c>
      <c r="P492" s="114">
        <f t="shared" si="346"/>
        <v>0</v>
      </c>
      <c r="Q492" s="114">
        <f t="shared" si="346"/>
        <v>0</v>
      </c>
      <c r="R492" s="88">
        <f t="shared" si="346"/>
        <v>0</v>
      </c>
      <c r="S492" s="90" t="e">
        <f t="shared" ca="1" si="346"/>
        <v>#NAME?</v>
      </c>
      <c r="T492" s="90"/>
      <c r="U492" s="90"/>
      <c r="V492" s="200">
        <f>V494</f>
        <v>0</v>
      </c>
      <c r="W492" s="200">
        <f>W494</f>
        <v>0</v>
      </c>
      <c r="X492" s="88">
        <f>X494</f>
        <v>0</v>
      </c>
      <c r="Y492" s="171">
        <f>Y494</f>
        <v>0</v>
      </c>
      <c r="Z492" s="171">
        <f>Z494</f>
        <v>0</v>
      </c>
      <c r="AA492" s="370" t="e">
        <f t="shared" ca="1" si="343"/>
        <v>#NAME?</v>
      </c>
      <c r="AB492" s="171"/>
      <c r="AC492" s="172">
        <f>AC494</f>
        <v>0</v>
      </c>
      <c r="AD492" s="172">
        <f>AD494</f>
        <v>0</v>
      </c>
      <c r="AE492" s="178"/>
      <c r="AF492" s="178"/>
      <c r="AG492" s="178"/>
      <c r="AH492" s="178"/>
      <c r="AI492" s="171"/>
      <c r="AJ492" s="171">
        <v>0</v>
      </c>
      <c r="AK492" s="171"/>
      <c r="AL492" s="171"/>
      <c r="AM492" s="171"/>
      <c r="AN492" s="90"/>
      <c r="AO492" s="193"/>
      <c r="AP492" s="193" t="e">
        <f t="shared" ca="1" si="341"/>
        <v>#NAME?</v>
      </c>
      <c r="AQ492" s="200">
        <f>AQ494</f>
        <v>0</v>
      </c>
      <c r="AR492" s="204"/>
      <c r="AS492" s="204"/>
      <c r="AT492" s="204"/>
      <c r="AU492" s="204"/>
      <c r="AV492" s="204"/>
    </row>
    <row r="493" spans="1:48" ht="12" customHeight="1">
      <c r="A493" s="42"/>
      <c r="B493" s="42"/>
      <c r="C493" s="42"/>
      <c r="D493" s="42"/>
      <c r="E493" s="42"/>
      <c r="F493" s="42"/>
      <c r="G493" s="42"/>
      <c r="H493" s="308"/>
      <c r="I493" s="14"/>
      <c r="J493" s="2"/>
      <c r="K493" s="84"/>
      <c r="L493" s="85"/>
      <c r="M493" s="85"/>
      <c r="N493" s="86"/>
      <c r="O493" s="86"/>
      <c r="P493" s="87"/>
      <c r="Q493" s="87"/>
      <c r="R493" s="160"/>
      <c r="S493" s="165" t="e">
        <f ca="1">__xlfn.XLOOKUP(H493,[1]Izvršenje_proračuna_po_pozicija!$B$2:$B$153,[1]Izvršenje_proračuna_po_pozicija!$E$2:$E$153,0)</f>
        <v>#NAME?</v>
      </c>
      <c r="T493" s="165"/>
      <c r="U493" s="165"/>
      <c r="V493" s="200"/>
      <c r="W493" s="200"/>
      <c r="X493" s="361"/>
      <c r="Y493" s="373"/>
      <c r="Z493" s="373"/>
      <c r="AA493" s="370" t="e">
        <f t="shared" ca="1" si="343"/>
        <v>#NAME?</v>
      </c>
      <c r="AB493" s="181"/>
      <c r="AC493" s="182"/>
      <c r="AD493" s="182"/>
      <c r="AE493" s="178"/>
      <c r="AF493" s="178"/>
      <c r="AG493" s="178"/>
      <c r="AH493" s="178"/>
      <c r="AI493" s="181"/>
      <c r="AJ493" s="373"/>
      <c r="AK493" s="171"/>
      <c r="AL493" s="171"/>
      <c r="AM493" s="171"/>
      <c r="AN493" s="161"/>
      <c r="AO493" s="193"/>
      <c r="AP493" s="193" t="e">
        <f t="shared" ca="1" si="341"/>
        <v>#NAME?</v>
      </c>
      <c r="AQ493" s="200"/>
      <c r="AR493" s="204"/>
      <c r="AS493" s="204"/>
      <c r="AT493" s="204"/>
      <c r="AU493" s="204"/>
      <c r="AV493" s="204"/>
    </row>
    <row r="494" spans="1:48" ht="12" customHeight="1">
      <c r="A494" s="24"/>
      <c r="B494" s="24"/>
      <c r="C494" s="24"/>
      <c r="D494" s="24"/>
      <c r="E494" s="24"/>
      <c r="F494" s="24"/>
      <c r="G494" s="24"/>
      <c r="H494" s="393"/>
      <c r="I494" s="404"/>
      <c r="J494" s="281">
        <v>3</v>
      </c>
      <c r="K494" s="2" t="s">
        <v>224</v>
      </c>
      <c r="L494" s="112">
        <f t="shared" ref="L494:Z496" si="347">L495</f>
        <v>0</v>
      </c>
      <c r="M494" s="112">
        <f t="shared" si="347"/>
        <v>0</v>
      </c>
      <c r="N494" s="113">
        <f t="shared" si="347"/>
        <v>0</v>
      </c>
      <c r="O494" s="113">
        <f t="shared" si="347"/>
        <v>0</v>
      </c>
      <c r="P494" s="114">
        <f t="shared" si="347"/>
        <v>0</v>
      </c>
      <c r="Q494" s="114">
        <f t="shared" si="347"/>
        <v>0</v>
      </c>
      <c r="R494" s="88">
        <f t="shared" si="347"/>
        <v>0</v>
      </c>
      <c r="S494" s="90" t="e">
        <f t="shared" ca="1" si="347"/>
        <v>#NAME?</v>
      </c>
      <c r="T494" s="90"/>
      <c r="U494" s="90"/>
      <c r="V494" s="200">
        <f>V495</f>
        <v>0</v>
      </c>
      <c r="W494" s="200">
        <f t="shared" si="347"/>
        <v>0</v>
      </c>
      <c r="X494" s="88">
        <f t="shared" si="347"/>
        <v>0</v>
      </c>
      <c r="Y494" s="171">
        <f t="shared" si="347"/>
        <v>0</v>
      </c>
      <c r="Z494" s="171">
        <f t="shared" si="347"/>
        <v>0</v>
      </c>
      <c r="AA494" s="370" t="e">
        <f t="shared" ca="1" si="343"/>
        <v>#NAME?</v>
      </c>
      <c r="AB494" s="171"/>
      <c r="AC494" s="172">
        <f t="shared" ref="AC494:AD496" si="348">AC495</f>
        <v>0</v>
      </c>
      <c r="AD494" s="172">
        <f t="shared" si="348"/>
        <v>0</v>
      </c>
      <c r="AE494" s="178"/>
      <c r="AF494" s="178"/>
      <c r="AG494" s="178"/>
      <c r="AH494" s="178"/>
      <c r="AI494" s="171"/>
      <c r="AJ494" s="171">
        <v>0</v>
      </c>
      <c r="AK494" s="171"/>
      <c r="AL494" s="171"/>
      <c r="AM494" s="171"/>
      <c r="AN494" s="90"/>
      <c r="AO494" s="193"/>
      <c r="AP494" s="193" t="e">
        <f t="shared" ca="1" si="341"/>
        <v>#NAME?</v>
      </c>
      <c r="AQ494" s="200">
        <f>AQ495</f>
        <v>0</v>
      </c>
      <c r="AR494" s="204"/>
      <c r="AS494" s="204"/>
      <c r="AT494" s="204"/>
      <c r="AU494" s="204"/>
      <c r="AV494" s="204"/>
    </row>
    <row r="495" spans="1:48" ht="12" customHeight="1">
      <c r="A495" s="301"/>
      <c r="B495" s="301"/>
      <c r="C495" s="301"/>
      <c r="D495" s="301"/>
      <c r="E495" s="301"/>
      <c r="F495" s="301"/>
      <c r="G495" s="301"/>
      <c r="H495" s="307"/>
      <c r="I495" s="405"/>
      <c r="J495" s="302">
        <v>32</v>
      </c>
      <c r="K495" s="343" t="s">
        <v>233</v>
      </c>
      <c r="L495" s="112">
        <f t="shared" si="347"/>
        <v>0</v>
      </c>
      <c r="M495" s="112">
        <f t="shared" si="347"/>
        <v>0</v>
      </c>
      <c r="N495" s="113">
        <f t="shared" si="347"/>
        <v>0</v>
      </c>
      <c r="O495" s="113">
        <f t="shared" si="347"/>
        <v>0</v>
      </c>
      <c r="P495" s="114">
        <f t="shared" si="347"/>
        <v>0</v>
      </c>
      <c r="Q495" s="114">
        <f t="shared" si="347"/>
        <v>0</v>
      </c>
      <c r="R495" s="88">
        <f t="shared" si="347"/>
        <v>0</v>
      </c>
      <c r="S495" s="90" t="e">
        <f t="shared" ca="1" si="347"/>
        <v>#NAME?</v>
      </c>
      <c r="T495" s="90"/>
      <c r="U495" s="90"/>
      <c r="V495" s="200">
        <f>V496</f>
        <v>0</v>
      </c>
      <c r="W495" s="200">
        <f t="shared" si="347"/>
        <v>0</v>
      </c>
      <c r="X495" s="88">
        <f t="shared" si="347"/>
        <v>0</v>
      </c>
      <c r="Y495" s="171">
        <f t="shared" si="347"/>
        <v>0</v>
      </c>
      <c r="Z495" s="171">
        <f t="shared" si="347"/>
        <v>0</v>
      </c>
      <c r="AA495" s="370" t="e">
        <f t="shared" ca="1" si="343"/>
        <v>#NAME?</v>
      </c>
      <c r="AB495" s="171"/>
      <c r="AC495" s="172">
        <f t="shared" si="348"/>
        <v>0</v>
      </c>
      <c r="AD495" s="172">
        <f t="shared" si="348"/>
        <v>0</v>
      </c>
      <c r="AE495" s="178"/>
      <c r="AF495" s="178"/>
      <c r="AG495" s="178"/>
      <c r="AH495" s="178"/>
      <c r="AI495" s="171"/>
      <c r="AJ495" s="171">
        <v>0</v>
      </c>
      <c r="AK495" s="171"/>
      <c r="AL495" s="171"/>
      <c r="AM495" s="171"/>
      <c r="AN495" s="90"/>
      <c r="AO495" s="193"/>
      <c r="AP495" s="193" t="e">
        <f t="shared" ca="1" si="341"/>
        <v>#NAME?</v>
      </c>
      <c r="AQ495" s="200">
        <f>AQ496</f>
        <v>0</v>
      </c>
      <c r="AR495" s="204"/>
      <c r="AS495" s="204"/>
      <c r="AT495" s="204"/>
      <c r="AU495" s="204"/>
      <c r="AV495" s="204"/>
    </row>
    <row r="496" spans="1:48" ht="12" customHeight="1">
      <c r="A496" s="62">
        <v>1</v>
      </c>
      <c r="B496" s="62"/>
      <c r="C496" s="62"/>
      <c r="D496" s="62"/>
      <c r="E496" s="62"/>
      <c r="F496" s="62"/>
      <c r="G496" s="62"/>
      <c r="H496" s="304"/>
      <c r="I496" s="346"/>
      <c r="J496" s="303">
        <v>323</v>
      </c>
      <c r="K496" s="19" t="s">
        <v>447</v>
      </c>
      <c r="L496" s="112">
        <f t="shared" si="347"/>
        <v>0</v>
      </c>
      <c r="M496" s="112">
        <f t="shared" si="347"/>
        <v>0</v>
      </c>
      <c r="N496" s="113">
        <f t="shared" si="347"/>
        <v>0</v>
      </c>
      <c r="O496" s="113">
        <f t="shared" si="347"/>
        <v>0</v>
      </c>
      <c r="P496" s="114">
        <f t="shared" si="347"/>
        <v>0</v>
      </c>
      <c r="Q496" s="114">
        <f t="shared" si="347"/>
        <v>0</v>
      </c>
      <c r="R496" s="88">
        <f t="shared" si="347"/>
        <v>0</v>
      </c>
      <c r="S496" s="90" t="e">
        <f t="shared" ca="1" si="347"/>
        <v>#NAME?</v>
      </c>
      <c r="T496" s="90"/>
      <c r="U496" s="90"/>
      <c r="V496" s="200">
        <f>V497</f>
        <v>0</v>
      </c>
      <c r="W496" s="200">
        <f t="shared" si="347"/>
        <v>0</v>
      </c>
      <c r="X496" s="88">
        <f t="shared" si="347"/>
        <v>0</v>
      </c>
      <c r="Y496" s="171">
        <f t="shared" si="347"/>
        <v>0</v>
      </c>
      <c r="Z496" s="171">
        <f t="shared" si="347"/>
        <v>0</v>
      </c>
      <c r="AA496" s="370" t="e">
        <f t="shared" ca="1" si="343"/>
        <v>#NAME?</v>
      </c>
      <c r="AB496" s="171"/>
      <c r="AC496" s="172">
        <f t="shared" si="348"/>
        <v>0</v>
      </c>
      <c r="AD496" s="172">
        <f t="shared" si="348"/>
        <v>0</v>
      </c>
      <c r="AE496" s="178"/>
      <c r="AF496" s="178"/>
      <c r="AG496" s="178"/>
      <c r="AH496" s="178"/>
      <c r="AI496" s="171"/>
      <c r="AJ496" s="171">
        <v>0</v>
      </c>
      <c r="AK496" s="171"/>
      <c r="AL496" s="171"/>
      <c r="AM496" s="171"/>
      <c r="AN496" s="90"/>
      <c r="AO496" s="193"/>
      <c r="AP496" s="193" t="e">
        <f t="shared" ca="1" si="341"/>
        <v>#NAME?</v>
      </c>
      <c r="AQ496" s="200">
        <f>AQ497</f>
        <v>0</v>
      </c>
      <c r="AR496" s="204"/>
      <c r="AS496" s="204"/>
      <c r="AT496" s="204"/>
      <c r="AU496" s="204"/>
      <c r="AV496" s="204"/>
    </row>
    <row r="497" spans="1:48" ht="12" customHeight="1">
      <c r="A497" s="53"/>
      <c r="B497" s="53"/>
      <c r="C497" s="53"/>
      <c r="D497" s="53"/>
      <c r="E497" s="53"/>
      <c r="F497" s="53"/>
      <c r="G497" s="53"/>
      <c r="H497" s="1">
        <v>119</v>
      </c>
      <c r="I497" s="345">
        <v>310</v>
      </c>
      <c r="J497" s="229">
        <v>3239</v>
      </c>
      <c r="K497" s="18" t="s">
        <v>448</v>
      </c>
      <c r="L497" s="130">
        <v>0</v>
      </c>
      <c r="M497" s="130">
        <v>0</v>
      </c>
      <c r="N497" s="131">
        <v>0</v>
      </c>
      <c r="O497" s="131">
        <v>0</v>
      </c>
      <c r="P497" s="132">
        <v>0</v>
      </c>
      <c r="Q497" s="132">
        <v>0</v>
      </c>
      <c r="R497" s="159">
        <v>0</v>
      </c>
      <c r="S497" s="165" t="e">
        <f ca="1">__xlfn.XLOOKUP(H497,[1]Izvršenje_proračuna_po_pozicija!$B$2:$B$153,[1]Izvršenje_proračuna_po_pozicija!$E$2:$E$153,0)</f>
        <v>#NAME?</v>
      </c>
      <c r="T497" s="165"/>
      <c r="U497" s="165"/>
      <c r="V497" s="200"/>
      <c r="W497" s="200"/>
      <c r="X497" s="164"/>
      <c r="Y497" s="378"/>
      <c r="Z497" s="378"/>
      <c r="AA497" s="370" t="e">
        <f t="shared" ca="1" si="343"/>
        <v>#NAME?</v>
      </c>
      <c r="AB497" s="183"/>
      <c r="AC497" s="178">
        <v>0</v>
      </c>
      <c r="AD497" s="178">
        <v>0</v>
      </c>
      <c r="AE497" s="178"/>
      <c r="AF497" s="178"/>
      <c r="AG497" s="178"/>
      <c r="AH497" s="178"/>
      <c r="AI497" s="183"/>
      <c r="AJ497" s="378"/>
      <c r="AK497" s="171"/>
      <c r="AL497" s="171"/>
      <c r="AM497" s="171"/>
      <c r="AN497" s="165"/>
      <c r="AO497" s="193"/>
      <c r="AP497" s="193" t="e">
        <f t="shared" ca="1" si="341"/>
        <v>#NAME?</v>
      </c>
      <c r="AQ497" s="200"/>
      <c r="AR497" s="204"/>
      <c r="AS497" s="204"/>
      <c r="AT497" s="204"/>
      <c r="AU497" s="204"/>
      <c r="AV497" s="204"/>
    </row>
    <row r="498" spans="1:48" ht="12" customHeight="1">
      <c r="A498" s="69"/>
      <c r="B498" s="69"/>
      <c r="C498" s="69"/>
      <c r="D498" s="69"/>
      <c r="E498" s="69"/>
      <c r="F498" s="69"/>
      <c r="G498" s="69"/>
      <c r="H498" s="389"/>
      <c r="I498" s="341"/>
      <c r="J498" s="281"/>
      <c r="K498" s="70"/>
      <c r="L498" s="217"/>
      <c r="M498" s="217"/>
      <c r="N498" s="218"/>
      <c r="O498" s="218"/>
      <c r="P498" s="219"/>
      <c r="Q498" s="219"/>
      <c r="R498" s="282"/>
      <c r="S498" s="165" t="e">
        <f ca="1">__xlfn.XLOOKUP(H498,[1]Izvršenje_proračuna_po_pozicija!$B$2:$B$153,[1]Izvršenje_proračuna_po_pozicija!$E$2:$E$153,0)</f>
        <v>#NAME?</v>
      </c>
      <c r="T498" s="165"/>
      <c r="U498" s="165"/>
      <c r="V498" s="200"/>
      <c r="W498" s="200"/>
      <c r="X498" s="167"/>
      <c r="Y498" s="424"/>
      <c r="Z498" s="424"/>
      <c r="AA498" s="370" t="e">
        <f t="shared" ca="1" si="343"/>
        <v>#NAME?</v>
      </c>
      <c r="AB498" s="223"/>
      <c r="AC498" s="224"/>
      <c r="AD498" s="224"/>
      <c r="AE498" s="178"/>
      <c r="AF498" s="178"/>
      <c r="AG498" s="178"/>
      <c r="AH498" s="178"/>
      <c r="AI498" s="223"/>
      <c r="AJ498" s="424"/>
      <c r="AK498" s="171"/>
      <c r="AL498" s="171"/>
      <c r="AM498" s="171"/>
      <c r="AN498" s="222"/>
      <c r="AO498" s="193"/>
      <c r="AP498" s="193" t="e">
        <f t="shared" ca="1" si="341"/>
        <v>#NAME?</v>
      </c>
      <c r="AQ498" s="200"/>
      <c r="AR498" s="204"/>
      <c r="AS498" s="204"/>
      <c r="AT498" s="204"/>
      <c r="AU498" s="204"/>
      <c r="AV498" s="204"/>
    </row>
    <row r="499" spans="1:48" ht="12" customHeight="1">
      <c r="A499" s="390" t="s">
        <v>366</v>
      </c>
      <c r="B499" s="391"/>
      <c r="C499" s="391"/>
      <c r="D499" s="391"/>
      <c r="E499" s="391"/>
      <c r="F499" s="391"/>
      <c r="G499" s="391"/>
      <c r="H499" s="392"/>
      <c r="I499" s="403" t="s">
        <v>449</v>
      </c>
      <c r="J499" s="339"/>
      <c r="K499" s="340"/>
      <c r="L499" s="112">
        <f t="shared" ref="L499:S499" si="349">L501</f>
        <v>609673</v>
      </c>
      <c r="M499" s="112">
        <f t="shared" si="349"/>
        <v>80917.512774570307</v>
      </c>
      <c r="N499" s="113">
        <f t="shared" si="349"/>
        <v>1049986</v>
      </c>
      <c r="O499" s="113">
        <f t="shared" si="349"/>
        <v>139357.09071603956</v>
      </c>
      <c r="P499" s="114">
        <f t="shared" si="349"/>
        <v>142700</v>
      </c>
      <c r="Q499" s="114">
        <f t="shared" si="349"/>
        <v>204200</v>
      </c>
      <c r="R499" s="88">
        <f t="shared" si="349"/>
        <v>200252</v>
      </c>
      <c r="S499" s="90" t="e">
        <f t="shared" ca="1" si="349"/>
        <v>#NAME?</v>
      </c>
      <c r="T499" s="90"/>
      <c r="U499" s="90"/>
      <c r="V499" s="200">
        <f>V501</f>
        <v>199200</v>
      </c>
      <c r="W499" s="200">
        <f>W501</f>
        <v>199200</v>
      </c>
      <c r="X499" s="88">
        <f>X501</f>
        <v>144400</v>
      </c>
      <c r="Y499" s="171">
        <f>Y501</f>
        <v>155000</v>
      </c>
      <c r="Z499" s="171">
        <f>Z501</f>
        <v>0</v>
      </c>
      <c r="AA499" s="370" t="e">
        <f t="shared" ca="1" si="343"/>
        <v>#NAME?</v>
      </c>
      <c r="AB499" s="171"/>
      <c r="AC499" s="172">
        <f>AC501</f>
        <v>143500</v>
      </c>
      <c r="AD499" s="172">
        <f>AD501</f>
        <v>143500</v>
      </c>
      <c r="AE499" s="178">
        <f>O499/M499*100</f>
        <v>172.22117430163385</v>
      </c>
      <c r="AF499" s="178">
        <f>P499/O499*100</f>
        <v>102.39880817458517</v>
      </c>
      <c r="AG499" s="178">
        <f>Q499/P499*100</f>
        <v>143.09740714786267</v>
      </c>
      <c r="AH499" s="178">
        <f>AC499/Q499*100</f>
        <v>70.274240940254657</v>
      </c>
      <c r="AI499" s="171"/>
      <c r="AJ499" s="171">
        <v>155000</v>
      </c>
      <c r="AK499" s="171">
        <f t="shared" si="336"/>
        <v>99.47466192597328</v>
      </c>
      <c r="AL499" s="171">
        <f t="shared" si="337"/>
        <v>72.489959839357425</v>
      </c>
      <c r="AM499" s="171">
        <f t="shared" si="337"/>
        <v>107.34072022160666</v>
      </c>
      <c r="AN499" s="90"/>
      <c r="AO499" s="193"/>
      <c r="AP499" s="193" t="e">
        <f t="shared" ca="1" si="341"/>
        <v>#NAME?</v>
      </c>
      <c r="AQ499" s="200">
        <f>AQ501</f>
        <v>192622.64</v>
      </c>
      <c r="AR499" s="204">
        <f>V499/R499*100</f>
        <v>99.47466192597328</v>
      </c>
      <c r="AS499" s="204">
        <f>W499/V499*100</f>
        <v>100</v>
      </c>
      <c r="AT499" s="204">
        <f>W499/R499*100</f>
        <v>99.47466192597328</v>
      </c>
      <c r="AU499" s="204">
        <f>AQ499/W499*100</f>
        <v>96.698112449799197</v>
      </c>
      <c r="AV499" s="204">
        <f>AQ499/R499*100</f>
        <v>96.190120448235234</v>
      </c>
    </row>
    <row r="500" spans="1:48" ht="12" customHeight="1">
      <c r="A500" s="53"/>
      <c r="B500" s="53"/>
      <c r="C500" s="53"/>
      <c r="D500" s="53"/>
      <c r="E500" s="53"/>
      <c r="F500" s="53"/>
      <c r="G500" s="53"/>
      <c r="H500" s="1"/>
      <c r="I500" s="345"/>
      <c r="J500" s="229"/>
      <c r="K500" s="18"/>
      <c r="L500" s="119"/>
      <c r="M500" s="119"/>
      <c r="N500" s="120"/>
      <c r="O500" s="120"/>
      <c r="P500" s="121"/>
      <c r="Q500" s="121"/>
      <c r="R500" s="157"/>
      <c r="S500" s="165" t="e">
        <f ca="1">__xlfn.XLOOKUP(H500,[1]Izvršenje_proračuna_po_pozicija!$B$2:$B$153,[1]Izvršenje_proračuna_po_pozicija!$E$2:$E$153,0)</f>
        <v>#NAME?</v>
      </c>
      <c r="T500" s="165"/>
      <c r="U500" s="165"/>
      <c r="V500" s="200"/>
      <c r="W500" s="200"/>
      <c r="X500" s="164"/>
      <c r="Y500" s="369"/>
      <c r="Z500" s="369"/>
      <c r="AA500" s="370" t="e">
        <f t="shared" ca="1" si="343"/>
        <v>#NAME?</v>
      </c>
      <c r="AB500" s="179"/>
      <c r="AC500" s="180"/>
      <c r="AD500" s="180"/>
      <c r="AE500" s="178"/>
      <c r="AF500" s="178"/>
      <c r="AG500" s="178"/>
      <c r="AH500" s="178"/>
      <c r="AI500" s="179"/>
      <c r="AJ500" s="369"/>
      <c r="AK500" s="171"/>
      <c r="AL500" s="171"/>
      <c r="AM500" s="171"/>
      <c r="AN500" s="158"/>
      <c r="AO500" s="193"/>
      <c r="AP500" s="193" t="e">
        <f t="shared" ca="1" si="341"/>
        <v>#NAME?</v>
      </c>
      <c r="AQ500" s="200"/>
      <c r="AR500" s="204"/>
      <c r="AS500" s="204"/>
      <c r="AT500" s="204"/>
      <c r="AU500" s="204"/>
      <c r="AV500" s="204"/>
    </row>
    <row r="501" spans="1:48" ht="12" customHeight="1">
      <c r="A501" s="24"/>
      <c r="B501" s="24"/>
      <c r="C501" s="24"/>
      <c r="D501" s="24"/>
      <c r="E501" s="24"/>
      <c r="F501" s="24"/>
      <c r="G501" s="24"/>
      <c r="H501" s="393"/>
      <c r="I501" s="404"/>
      <c r="J501" s="281">
        <v>3</v>
      </c>
      <c r="K501" s="2" t="s">
        <v>224</v>
      </c>
      <c r="L501" s="112">
        <f t="shared" ref="L501:S501" si="350">L503+L508</f>
        <v>609673</v>
      </c>
      <c r="M501" s="112">
        <f t="shared" si="350"/>
        <v>80917.512774570307</v>
      </c>
      <c r="N501" s="113">
        <f t="shared" si="350"/>
        <v>1049986</v>
      </c>
      <c r="O501" s="113">
        <f t="shared" si="350"/>
        <v>139357.09071603956</v>
      </c>
      <c r="P501" s="114">
        <f t="shared" si="350"/>
        <v>142700</v>
      </c>
      <c r="Q501" s="114">
        <f t="shared" si="350"/>
        <v>204200</v>
      </c>
      <c r="R501" s="88">
        <f t="shared" si="350"/>
        <v>200252</v>
      </c>
      <c r="S501" s="90" t="e">
        <f t="shared" ca="1" si="350"/>
        <v>#NAME?</v>
      </c>
      <c r="T501" s="90"/>
      <c r="U501" s="90"/>
      <c r="V501" s="200">
        <f>V503+V508</f>
        <v>199200</v>
      </c>
      <c r="W501" s="200">
        <f>W503+W508</f>
        <v>199200</v>
      </c>
      <c r="X501" s="88">
        <f>X503+X508</f>
        <v>144400</v>
      </c>
      <c r="Y501" s="171">
        <f>Y503+Y508</f>
        <v>155000</v>
      </c>
      <c r="Z501" s="171">
        <f>Z503+Z508</f>
        <v>0</v>
      </c>
      <c r="AA501" s="370" t="e">
        <f t="shared" ca="1" si="343"/>
        <v>#NAME?</v>
      </c>
      <c r="AB501" s="171"/>
      <c r="AC501" s="172">
        <f>AC503+AC508</f>
        <v>143500</v>
      </c>
      <c r="AD501" s="172">
        <f>AD503+AD508</f>
        <v>143500</v>
      </c>
      <c r="AE501" s="178">
        <f>O501/M501*100</f>
        <v>172.22117430163385</v>
      </c>
      <c r="AF501" s="178">
        <f>P501/O501*100</f>
        <v>102.39880817458517</v>
      </c>
      <c r="AG501" s="178">
        <f>Q501/P501*100</f>
        <v>143.09740714786267</v>
      </c>
      <c r="AH501" s="178">
        <f>AC501/Q501*100</f>
        <v>70.274240940254657</v>
      </c>
      <c r="AI501" s="171"/>
      <c r="AJ501" s="171">
        <v>155000</v>
      </c>
      <c r="AK501" s="171">
        <f t="shared" si="336"/>
        <v>99.47466192597328</v>
      </c>
      <c r="AL501" s="171">
        <f t="shared" si="337"/>
        <v>72.489959839357425</v>
      </c>
      <c r="AM501" s="171">
        <f t="shared" si="337"/>
        <v>107.34072022160666</v>
      </c>
      <c r="AN501" s="90"/>
      <c r="AO501" s="193"/>
      <c r="AP501" s="193" t="e">
        <f t="shared" ca="1" si="341"/>
        <v>#NAME?</v>
      </c>
      <c r="AQ501" s="200">
        <f>AQ503+AQ508</f>
        <v>192622.64</v>
      </c>
      <c r="AR501" s="204">
        <f>V501/R501*100</f>
        <v>99.47466192597328</v>
      </c>
      <c r="AS501" s="204">
        <f>W501/V501*100</f>
        <v>100</v>
      </c>
      <c r="AT501" s="204">
        <f>W501/R501*100</f>
        <v>99.47466192597328</v>
      </c>
      <c r="AU501" s="204">
        <f>AQ501/W501*100</f>
        <v>96.698112449799197</v>
      </c>
      <c r="AV501" s="204">
        <f>AQ501/R501*100</f>
        <v>96.190120448235234</v>
      </c>
    </row>
    <row r="502" spans="1:48" ht="12" customHeight="1">
      <c r="A502" s="42"/>
      <c r="B502" s="42"/>
      <c r="C502" s="42"/>
      <c r="D502" s="42"/>
      <c r="E502" s="42"/>
      <c r="F502" s="42"/>
      <c r="G502" s="42"/>
      <c r="H502" s="308"/>
      <c r="I502" s="14"/>
      <c r="J502" s="2"/>
      <c r="K502" s="84"/>
      <c r="L502" s="85"/>
      <c r="M502" s="85"/>
      <c r="N502" s="86"/>
      <c r="O502" s="86"/>
      <c r="P502" s="87"/>
      <c r="Q502" s="87"/>
      <c r="R502" s="160"/>
      <c r="S502" s="165" t="e">
        <f ca="1">__xlfn.XLOOKUP(H502,[1]Izvršenje_proračuna_po_pozicija!$B$2:$B$153,[1]Izvršenje_proračuna_po_pozicija!$E$2:$E$153,0)</f>
        <v>#NAME?</v>
      </c>
      <c r="T502" s="165"/>
      <c r="U502" s="165"/>
      <c r="V502" s="200"/>
      <c r="W502" s="200"/>
      <c r="X502" s="361"/>
      <c r="Y502" s="373"/>
      <c r="Z502" s="373"/>
      <c r="AA502" s="370" t="e">
        <f t="shared" ca="1" si="343"/>
        <v>#NAME?</v>
      </c>
      <c r="AB502" s="181"/>
      <c r="AC502" s="182"/>
      <c r="AD502" s="182"/>
      <c r="AE502" s="178"/>
      <c r="AF502" s="178"/>
      <c r="AG502" s="178"/>
      <c r="AH502" s="178"/>
      <c r="AI502" s="181"/>
      <c r="AJ502" s="373"/>
      <c r="AK502" s="171"/>
      <c r="AL502" s="171"/>
      <c r="AM502" s="171"/>
      <c r="AN502" s="161"/>
      <c r="AO502" s="193"/>
      <c r="AP502" s="193" t="e">
        <f t="shared" ca="1" si="341"/>
        <v>#NAME?</v>
      </c>
      <c r="AQ502" s="200"/>
      <c r="AR502" s="204"/>
      <c r="AS502" s="204"/>
      <c r="AT502" s="204"/>
      <c r="AU502" s="204"/>
      <c r="AV502" s="204"/>
    </row>
    <row r="503" spans="1:48" ht="12" customHeight="1">
      <c r="A503" s="301"/>
      <c r="B503" s="301"/>
      <c r="C503" s="301"/>
      <c r="D503" s="301"/>
      <c r="E503" s="301"/>
      <c r="F503" s="301"/>
      <c r="G503" s="301"/>
      <c r="H503" s="307"/>
      <c r="I503" s="405"/>
      <c r="J503" s="302">
        <v>32</v>
      </c>
      <c r="K503" s="343" t="s">
        <v>233</v>
      </c>
      <c r="L503" s="112">
        <f t="shared" ref="L503:Z503" si="351">L504</f>
        <v>9625</v>
      </c>
      <c r="M503" s="112">
        <f t="shared" si="351"/>
        <v>1277.4570309907756</v>
      </c>
      <c r="N503" s="113">
        <f t="shared" si="351"/>
        <v>17250</v>
      </c>
      <c r="O503" s="113">
        <f t="shared" si="351"/>
        <v>2289.4684451522994</v>
      </c>
      <c r="P503" s="114">
        <f t="shared" si="351"/>
        <v>5500</v>
      </c>
      <c r="Q503" s="114">
        <f t="shared" si="351"/>
        <v>5500</v>
      </c>
      <c r="R503" s="88">
        <f t="shared" si="351"/>
        <v>1530</v>
      </c>
      <c r="S503" s="90" t="e">
        <f t="shared" ca="1" si="351"/>
        <v>#NAME?</v>
      </c>
      <c r="T503" s="90"/>
      <c r="U503" s="90"/>
      <c r="V503" s="200">
        <f>V504</f>
        <v>2800</v>
      </c>
      <c r="W503" s="200">
        <f t="shared" si="351"/>
        <v>2800</v>
      </c>
      <c r="X503" s="88">
        <f t="shared" si="351"/>
        <v>6000</v>
      </c>
      <c r="Y503" s="171">
        <f t="shared" si="351"/>
        <v>6000</v>
      </c>
      <c r="Z503" s="171">
        <f t="shared" si="351"/>
        <v>0</v>
      </c>
      <c r="AA503" s="370" t="e">
        <f t="shared" ca="1" si="343"/>
        <v>#NAME?</v>
      </c>
      <c r="AB503" s="171"/>
      <c r="AC503" s="172">
        <f>AC504</f>
        <v>6000</v>
      </c>
      <c r="AD503" s="172">
        <f>AD504</f>
        <v>6000</v>
      </c>
      <c r="AE503" s="178">
        <f>O503/M503*100</f>
        <v>179.22077922077924</v>
      </c>
      <c r="AF503" s="178">
        <f t="shared" ref="AF503:AG505" si="352">P503/O503*100</f>
        <v>240.23043478260871</v>
      </c>
      <c r="AG503" s="178">
        <f t="shared" si="352"/>
        <v>100</v>
      </c>
      <c r="AH503" s="178">
        <f>AC503/Q503*100</f>
        <v>109.09090909090908</v>
      </c>
      <c r="AI503" s="171"/>
      <c r="AJ503" s="171">
        <v>6000</v>
      </c>
      <c r="AK503" s="171">
        <f t="shared" si="336"/>
        <v>183.00653594771242</v>
      </c>
      <c r="AL503" s="171">
        <f t="shared" si="337"/>
        <v>214.28571428571428</v>
      </c>
      <c r="AM503" s="171">
        <f t="shared" si="337"/>
        <v>100</v>
      </c>
      <c r="AN503" s="90"/>
      <c r="AO503" s="193"/>
      <c r="AP503" s="193" t="e">
        <f t="shared" ca="1" si="341"/>
        <v>#NAME?</v>
      </c>
      <c r="AQ503" s="200">
        <f>AQ504</f>
        <v>2769.5</v>
      </c>
      <c r="AR503" s="204">
        <f>V503/R503*100</f>
        <v>183.00653594771242</v>
      </c>
      <c r="AS503" s="204">
        <f>W503/V503*100</f>
        <v>100</v>
      </c>
      <c r="AT503" s="204">
        <f>W503/R503*100</f>
        <v>183.00653594771242</v>
      </c>
      <c r="AU503" s="204">
        <f>AQ503/W503*100</f>
        <v>98.910714285714292</v>
      </c>
      <c r="AV503" s="204">
        <f>AQ503/R503*100</f>
        <v>181.01307189542484</v>
      </c>
    </row>
    <row r="504" spans="1:48" ht="12" customHeight="1">
      <c r="A504" s="62"/>
      <c r="B504" s="62"/>
      <c r="C504" s="62"/>
      <c r="D504" s="62"/>
      <c r="E504" s="62"/>
      <c r="F504" s="62"/>
      <c r="G504" s="62"/>
      <c r="H504" s="304"/>
      <c r="I504" s="346"/>
      <c r="J504" s="303">
        <v>329</v>
      </c>
      <c r="K504" s="19" t="s">
        <v>450</v>
      </c>
      <c r="L504" s="112">
        <f t="shared" ref="L504:S504" si="353">L505+L506</f>
        <v>9625</v>
      </c>
      <c r="M504" s="112">
        <f t="shared" si="353"/>
        <v>1277.4570309907756</v>
      </c>
      <c r="N504" s="113">
        <f t="shared" si="353"/>
        <v>17250</v>
      </c>
      <c r="O504" s="113">
        <f t="shared" si="353"/>
        <v>2289.4684451522994</v>
      </c>
      <c r="P504" s="114">
        <f t="shared" si="353"/>
        <v>5500</v>
      </c>
      <c r="Q504" s="114">
        <f t="shared" si="353"/>
        <v>5500</v>
      </c>
      <c r="R504" s="88">
        <f t="shared" si="353"/>
        <v>1530</v>
      </c>
      <c r="S504" s="90" t="e">
        <f t="shared" ca="1" si="353"/>
        <v>#NAME?</v>
      </c>
      <c r="T504" s="90"/>
      <c r="U504" s="90"/>
      <c r="V504" s="200">
        <f>V505+V506</f>
        <v>2800</v>
      </c>
      <c r="W504" s="200">
        <f>W505+W506</f>
        <v>2800</v>
      </c>
      <c r="X504" s="88">
        <f>X505+X506</f>
        <v>6000</v>
      </c>
      <c r="Y504" s="171">
        <f>Y505+Y506</f>
        <v>6000</v>
      </c>
      <c r="Z504" s="171">
        <f>Z505+Z506</f>
        <v>0</v>
      </c>
      <c r="AA504" s="370" t="e">
        <f t="shared" ca="1" si="343"/>
        <v>#NAME?</v>
      </c>
      <c r="AB504" s="171"/>
      <c r="AC504" s="172">
        <f>AC505+AC506</f>
        <v>6000</v>
      </c>
      <c r="AD504" s="172">
        <f>AD505+AD506</f>
        <v>6000</v>
      </c>
      <c r="AE504" s="178">
        <f>O504/M504*100</f>
        <v>179.22077922077924</v>
      </c>
      <c r="AF504" s="178">
        <f t="shared" si="352"/>
        <v>240.23043478260871</v>
      </c>
      <c r="AG504" s="178">
        <f t="shared" si="352"/>
        <v>100</v>
      </c>
      <c r="AH504" s="178">
        <f>AC504/Q504*100</f>
        <v>109.09090909090908</v>
      </c>
      <c r="AI504" s="171"/>
      <c r="AJ504" s="171">
        <v>6000</v>
      </c>
      <c r="AK504" s="171">
        <f t="shared" si="336"/>
        <v>183.00653594771242</v>
      </c>
      <c r="AL504" s="171">
        <f t="shared" si="337"/>
        <v>214.28571428571428</v>
      </c>
      <c r="AM504" s="171">
        <f t="shared" si="337"/>
        <v>100</v>
      </c>
      <c r="AN504" s="90"/>
      <c r="AO504" s="193"/>
      <c r="AP504" s="193" t="e">
        <f t="shared" ca="1" si="341"/>
        <v>#NAME?</v>
      </c>
      <c r="AQ504" s="200">
        <f>AQ505+AQ506</f>
        <v>2769.5</v>
      </c>
      <c r="AR504" s="204">
        <f>V504/R504*100</f>
        <v>183.00653594771242</v>
      </c>
      <c r="AS504" s="204">
        <f>W504/V504*100</f>
        <v>100</v>
      </c>
      <c r="AT504" s="204">
        <f>W504/R504*100</f>
        <v>183.00653594771242</v>
      </c>
      <c r="AU504" s="204">
        <f>AQ504/W504*100</f>
        <v>98.910714285714292</v>
      </c>
      <c r="AV504" s="204">
        <f>AQ504/R504*100</f>
        <v>181.01307189542484</v>
      </c>
    </row>
    <row r="505" spans="1:48" ht="12" customHeight="1">
      <c r="A505" s="53"/>
      <c r="B505" s="53"/>
      <c r="C505" s="53"/>
      <c r="D505" s="53"/>
      <c r="E505" s="53"/>
      <c r="F505" s="53"/>
      <c r="G505" s="53"/>
      <c r="H505" s="1" t="s">
        <v>451</v>
      </c>
      <c r="I505" s="345">
        <v>320</v>
      </c>
      <c r="J505" s="229">
        <v>3299</v>
      </c>
      <c r="K505" s="18" t="s">
        <v>452</v>
      </c>
      <c r="L505" s="130">
        <v>9625</v>
      </c>
      <c r="M505" s="130">
        <f>9625/7.5345</f>
        <v>1277.4570309907756</v>
      </c>
      <c r="N505" s="131">
        <v>17250</v>
      </c>
      <c r="O505" s="131">
        <f>N505/7.5345</f>
        <v>2289.4684451522994</v>
      </c>
      <c r="P505" s="132">
        <v>2800</v>
      </c>
      <c r="Q505" s="132">
        <v>2800</v>
      </c>
      <c r="R505" s="159">
        <v>1530</v>
      </c>
      <c r="S505" s="165" t="e">
        <f ca="1">__xlfn.XLOOKUP(H505,[1]Izvršenje_proračuna_po_pozicija!$B$2:$B$153,[1]Izvršenje_proračuna_po_pozicija!$E$2:$E$153,0)</f>
        <v>#NAME?</v>
      </c>
      <c r="T505" s="165"/>
      <c r="U505" s="165"/>
      <c r="V505" s="200">
        <v>2800</v>
      </c>
      <c r="W505" s="200">
        <v>2800</v>
      </c>
      <c r="X505" s="164">
        <v>3000</v>
      </c>
      <c r="Y505" s="378">
        <v>3000</v>
      </c>
      <c r="Z505" s="378"/>
      <c r="AA505" s="370" t="e">
        <f t="shared" ca="1" si="343"/>
        <v>#NAME?</v>
      </c>
      <c r="AB505" s="183"/>
      <c r="AC505" s="178">
        <v>3000</v>
      </c>
      <c r="AD505" s="178">
        <v>3000</v>
      </c>
      <c r="AE505" s="178">
        <f>O505/M505*100</f>
        <v>179.22077922077924</v>
      </c>
      <c r="AF505" s="178">
        <f t="shared" si="352"/>
        <v>122.2991304347826</v>
      </c>
      <c r="AG505" s="178">
        <f t="shared" si="352"/>
        <v>100</v>
      </c>
      <c r="AH505" s="178">
        <f>AC505/Q505*100</f>
        <v>107.14285714285714</v>
      </c>
      <c r="AI505" s="183"/>
      <c r="AJ505" s="378">
        <v>3000</v>
      </c>
      <c r="AK505" s="171">
        <f t="shared" si="336"/>
        <v>183.00653594771242</v>
      </c>
      <c r="AL505" s="171">
        <f t="shared" si="337"/>
        <v>107.14285714285714</v>
      </c>
      <c r="AM505" s="171">
        <f t="shared" si="337"/>
        <v>100</v>
      </c>
      <c r="AN505" s="165"/>
      <c r="AO505" s="193"/>
      <c r="AP505" s="193" t="e">
        <f t="shared" ca="1" si="341"/>
        <v>#NAME?</v>
      </c>
      <c r="AQ505" s="200">
        <v>2769.5</v>
      </c>
      <c r="AR505" s="204">
        <f>V505/R505*100</f>
        <v>183.00653594771242</v>
      </c>
      <c r="AS505" s="204">
        <f>W505/V505*100</f>
        <v>100</v>
      </c>
      <c r="AT505" s="204">
        <f>W505/R505*100</f>
        <v>183.00653594771242</v>
      </c>
      <c r="AU505" s="204">
        <f>AQ505/W505*100</f>
        <v>98.910714285714292</v>
      </c>
      <c r="AV505" s="204">
        <f>AQ505/R505*100</f>
        <v>181.01307189542484</v>
      </c>
    </row>
    <row r="506" spans="1:48" ht="12" customHeight="1">
      <c r="A506" s="53"/>
      <c r="B506" s="53"/>
      <c r="C506" s="53"/>
      <c r="D506" s="53"/>
      <c r="E506" s="53"/>
      <c r="F506" s="53"/>
      <c r="G506" s="53"/>
      <c r="H506" s="1" t="s">
        <v>453</v>
      </c>
      <c r="I506" s="345">
        <v>320</v>
      </c>
      <c r="J506" s="229">
        <v>3299</v>
      </c>
      <c r="K506" s="18" t="s">
        <v>454</v>
      </c>
      <c r="L506" s="130">
        <v>0</v>
      </c>
      <c r="M506" s="130">
        <v>0</v>
      </c>
      <c r="N506" s="131">
        <v>0</v>
      </c>
      <c r="O506" s="131">
        <f>N506/7.5345</f>
        <v>0</v>
      </c>
      <c r="P506" s="132">
        <v>2700</v>
      </c>
      <c r="Q506" s="132">
        <v>2700</v>
      </c>
      <c r="R506" s="159">
        <v>0</v>
      </c>
      <c r="S506" s="165" t="e">
        <f ca="1">__xlfn.XLOOKUP(H506,[1]Izvršenje_proračuna_po_pozicija!$B$2:$B$153,[1]Izvršenje_proračuna_po_pozicija!$E$2:$E$153,0)</f>
        <v>#NAME?</v>
      </c>
      <c r="T506" s="165"/>
      <c r="U506" s="165"/>
      <c r="V506" s="200">
        <v>0</v>
      </c>
      <c r="W506" s="200">
        <v>0</v>
      </c>
      <c r="X506" s="164">
        <v>3000</v>
      </c>
      <c r="Y506" s="378">
        <v>3000</v>
      </c>
      <c r="Z506" s="378"/>
      <c r="AA506" s="370" t="e">
        <f t="shared" ca="1" si="343"/>
        <v>#NAME?</v>
      </c>
      <c r="AB506" s="183"/>
      <c r="AC506" s="178">
        <v>3000</v>
      </c>
      <c r="AD506" s="178">
        <v>3000</v>
      </c>
      <c r="AE506" s="178"/>
      <c r="AF506" s="178"/>
      <c r="AG506" s="178"/>
      <c r="AH506" s="178"/>
      <c r="AI506" s="183"/>
      <c r="AJ506" s="378">
        <v>3000</v>
      </c>
      <c r="AK506" s="171"/>
      <c r="AL506" s="171"/>
      <c r="AM506" s="171">
        <f t="shared" si="337"/>
        <v>100</v>
      </c>
      <c r="AN506" s="165"/>
      <c r="AO506" s="193"/>
      <c r="AP506" s="193" t="e">
        <f t="shared" ca="1" si="341"/>
        <v>#NAME?</v>
      </c>
      <c r="AQ506" s="200"/>
      <c r="AR506" s="204"/>
      <c r="AS506" s="204"/>
      <c r="AT506" s="204"/>
      <c r="AU506" s="204"/>
      <c r="AV506" s="204"/>
    </row>
    <row r="507" spans="1:48" ht="12" customHeight="1">
      <c r="A507" s="53"/>
      <c r="B507" s="53"/>
      <c r="C507" s="53"/>
      <c r="D507" s="53"/>
      <c r="E507" s="53"/>
      <c r="F507" s="53"/>
      <c r="G507" s="53"/>
      <c r="H507" s="1"/>
      <c r="I507" s="345"/>
      <c r="J507" s="229"/>
      <c r="K507" s="18"/>
      <c r="L507" s="130"/>
      <c r="M507" s="130"/>
      <c r="N507" s="131"/>
      <c r="O507" s="131"/>
      <c r="P507" s="132"/>
      <c r="Q507" s="132"/>
      <c r="R507" s="159"/>
      <c r="S507" s="165" t="e">
        <f ca="1">__xlfn.XLOOKUP(H507,[1]Izvršenje_proračuna_po_pozicija!$B$2:$B$153,[1]Izvršenje_proračuna_po_pozicija!$E$2:$E$153,0)</f>
        <v>#NAME?</v>
      </c>
      <c r="T507" s="165"/>
      <c r="U507" s="165"/>
      <c r="V507" s="200"/>
      <c r="W507" s="200"/>
      <c r="X507" s="164"/>
      <c r="Y507" s="378"/>
      <c r="Z507" s="378"/>
      <c r="AA507" s="370" t="e">
        <f t="shared" ca="1" si="343"/>
        <v>#NAME?</v>
      </c>
      <c r="AB507" s="183"/>
      <c r="AC507" s="178"/>
      <c r="AD507" s="178"/>
      <c r="AE507" s="178"/>
      <c r="AF507" s="178"/>
      <c r="AG507" s="178"/>
      <c r="AH507" s="178"/>
      <c r="AI507" s="183"/>
      <c r="AJ507" s="378"/>
      <c r="AK507" s="171"/>
      <c r="AL507" s="171"/>
      <c r="AM507" s="171"/>
      <c r="AN507" s="165"/>
      <c r="AO507" s="193"/>
      <c r="AP507" s="193" t="e">
        <f t="shared" ca="1" si="341"/>
        <v>#NAME?</v>
      </c>
      <c r="AQ507" s="200"/>
      <c r="AR507" s="204"/>
      <c r="AS507" s="204"/>
      <c r="AT507" s="204"/>
      <c r="AU507" s="204"/>
      <c r="AV507" s="204"/>
    </row>
    <row r="508" spans="1:48" ht="12" customHeight="1">
      <c r="A508" s="301"/>
      <c r="B508" s="301"/>
      <c r="C508" s="301"/>
      <c r="D508" s="301"/>
      <c r="E508" s="301"/>
      <c r="F508" s="301"/>
      <c r="G508" s="301"/>
      <c r="H508" s="307"/>
      <c r="I508" s="405"/>
      <c r="J508" s="302">
        <v>38</v>
      </c>
      <c r="K508" s="343" t="s">
        <v>285</v>
      </c>
      <c r="L508" s="112">
        <f t="shared" ref="L508:AD510" si="354">L509</f>
        <v>600048</v>
      </c>
      <c r="M508" s="112">
        <f t="shared" si="354"/>
        <v>79640.055743579534</v>
      </c>
      <c r="N508" s="113">
        <f t="shared" si="354"/>
        <v>1032736</v>
      </c>
      <c r="O508" s="113">
        <f t="shared" si="354"/>
        <v>137067.62227088725</v>
      </c>
      <c r="P508" s="114">
        <f t="shared" si="354"/>
        <v>137200</v>
      </c>
      <c r="Q508" s="114">
        <f t="shared" si="354"/>
        <v>198700</v>
      </c>
      <c r="R508" s="88">
        <f t="shared" si="354"/>
        <v>198722</v>
      </c>
      <c r="S508" s="90" t="e">
        <f t="shared" ca="1" si="354"/>
        <v>#NAME?</v>
      </c>
      <c r="T508" s="90"/>
      <c r="U508" s="90"/>
      <c r="V508" s="200">
        <f>V509</f>
        <v>196400</v>
      </c>
      <c r="W508" s="200">
        <f t="shared" si="354"/>
        <v>196400</v>
      </c>
      <c r="X508" s="88">
        <f t="shared" si="354"/>
        <v>138400</v>
      </c>
      <c r="Y508" s="171">
        <f t="shared" si="354"/>
        <v>149000</v>
      </c>
      <c r="Z508" s="171">
        <f t="shared" si="354"/>
        <v>0</v>
      </c>
      <c r="AA508" s="370" t="e">
        <f t="shared" ca="1" si="343"/>
        <v>#NAME?</v>
      </c>
      <c r="AB508" s="171"/>
      <c r="AC508" s="172">
        <f t="shared" si="354"/>
        <v>137500</v>
      </c>
      <c r="AD508" s="172">
        <f t="shared" si="354"/>
        <v>137500</v>
      </c>
      <c r="AE508" s="178">
        <f t="shared" ref="AE508:AE514" si="355">O508/M508*100</f>
        <v>172.1088979548303</v>
      </c>
      <c r="AF508" s="178">
        <f t="shared" ref="AF508:AG514" si="356">P508/O508*100</f>
        <v>100.09657840919655</v>
      </c>
      <c r="AG508" s="178">
        <f t="shared" si="356"/>
        <v>144.82507288629739</v>
      </c>
      <c r="AH508" s="178">
        <f t="shared" ref="AH508:AH514" si="357">AC508/Q508*100</f>
        <v>69.199798691494721</v>
      </c>
      <c r="AI508" s="171"/>
      <c r="AJ508" s="171">
        <v>149000</v>
      </c>
      <c r="AK508" s="171">
        <f t="shared" si="336"/>
        <v>98.831533499058992</v>
      </c>
      <c r="AL508" s="171">
        <f t="shared" si="337"/>
        <v>70.468431771894089</v>
      </c>
      <c r="AM508" s="171">
        <f t="shared" si="337"/>
        <v>107.65895953757226</v>
      </c>
      <c r="AN508" s="90"/>
      <c r="AO508" s="193"/>
      <c r="AP508" s="193" t="e">
        <f t="shared" ca="1" si="341"/>
        <v>#NAME?</v>
      </c>
      <c r="AQ508" s="200">
        <f>AQ509</f>
        <v>189853.14</v>
      </c>
      <c r="AR508" s="204">
        <f t="shared" ref="AR508:AR514" si="358">V508/R508*100</f>
        <v>98.831533499058992</v>
      </c>
      <c r="AS508" s="204">
        <f t="shared" ref="AS508:AS514" si="359">W508/V508*100</f>
        <v>100</v>
      </c>
      <c r="AT508" s="204">
        <f t="shared" ref="AT508:AT514" si="360">W508/R508*100</f>
        <v>98.831533499058992</v>
      </c>
      <c r="AU508" s="204">
        <f t="shared" ref="AU508:AU514" si="361">AQ508/W508*100</f>
        <v>96.666568228105916</v>
      </c>
      <c r="AV508" s="204">
        <f t="shared" ref="AV508:AV514" si="362">AQ508/R508*100</f>
        <v>95.537051760751211</v>
      </c>
    </row>
    <row r="509" spans="1:48" ht="12" customHeight="1">
      <c r="A509" s="62"/>
      <c r="B509" s="272"/>
      <c r="C509" s="272"/>
      <c r="D509" s="272"/>
      <c r="E509" s="272"/>
      <c r="F509" s="272"/>
      <c r="G509" s="272"/>
      <c r="H509" s="396"/>
      <c r="I509" s="416"/>
      <c r="J509" s="303">
        <v>381</v>
      </c>
      <c r="K509" s="19" t="s">
        <v>407</v>
      </c>
      <c r="L509" s="112">
        <f t="shared" si="354"/>
        <v>600048</v>
      </c>
      <c r="M509" s="112">
        <f t="shared" si="354"/>
        <v>79640.055743579534</v>
      </c>
      <c r="N509" s="113">
        <f t="shared" si="354"/>
        <v>1032736</v>
      </c>
      <c r="O509" s="113">
        <f t="shared" si="354"/>
        <v>137067.62227088725</v>
      </c>
      <c r="P509" s="114">
        <f t="shared" si="354"/>
        <v>137200</v>
      </c>
      <c r="Q509" s="114">
        <f t="shared" si="354"/>
        <v>198700</v>
      </c>
      <c r="R509" s="88">
        <f t="shared" si="354"/>
        <v>198722</v>
      </c>
      <c r="S509" s="90" t="e">
        <f t="shared" ca="1" si="354"/>
        <v>#NAME?</v>
      </c>
      <c r="T509" s="90"/>
      <c r="U509" s="90"/>
      <c r="V509" s="200">
        <f>V510</f>
        <v>196400</v>
      </c>
      <c r="W509" s="200">
        <f t="shared" si="354"/>
        <v>196400</v>
      </c>
      <c r="X509" s="88">
        <f t="shared" si="354"/>
        <v>138400</v>
      </c>
      <c r="Y509" s="171">
        <f t="shared" si="354"/>
        <v>149000</v>
      </c>
      <c r="Z509" s="171">
        <f t="shared" si="354"/>
        <v>0</v>
      </c>
      <c r="AA509" s="370" t="e">
        <f t="shared" ca="1" si="343"/>
        <v>#NAME?</v>
      </c>
      <c r="AB509" s="171"/>
      <c r="AC509" s="172">
        <f t="shared" si="354"/>
        <v>137500</v>
      </c>
      <c r="AD509" s="172">
        <f t="shared" si="354"/>
        <v>137500</v>
      </c>
      <c r="AE509" s="178">
        <f t="shared" si="355"/>
        <v>172.1088979548303</v>
      </c>
      <c r="AF509" s="178">
        <f t="shared" si="356"/>
        <v>100.09657840919655</v>
      </c>
      <c r="AG509" s="178">
        <f t="shared" si="356"/>
        <v>144.82507288629739</v>
      </c>
      <c r="AH509" s="178">
        <f t="shared" si="357"/>
        <v>69.199798691494721</v>
      </c>
      <c r="AI509" s="171"/>
      <c r="AJ509" s="171">
        <v>149000</v>
      </c>
      <c r="AK509" s="171">
        <f t="shared" si="336"/>
        <v>98.831533499058992</v>
      </c>
      <c r="AL509" s="171">
        <f t="shared" si="337"/>
        <v>70.468431771894089</v>
      </c>
      <c r="AM509" s="171">
        <f t="shared" si="337"/>
        <v>107.65895953757226</v>
      </c>
      <c r="AN509" s="90"/>
      <c r="AO509" s="193"/>
      <c r="AP509" s="193" t="e">
        <f t="shared" ca="1" si="341"/>
        <v>#NAME?</v>
      </c>
      <c r="AQ509" s="200">
        <f>AQ510</f>
        <v>189853.14</v>
      </c>
      <c r="AR509" s="204">
        <f t="shared" si="358"/>
        <v>98.831533499058992</v>
      </c>
      <c r="AS509" s="204">
        <f t="shared" si="359"/>
        <v>100</v>
      </c>
      <c r="AT509" s="204">
        <f t="shared" si="360"/>
        <v>98.831533499058992</v>
      </c>
      <c r="AU509" s="204">
        <f t="shared" si="361"/>
        <v>96.666568228105916</v>
      </c>
      <c r="AV509" s="204">
        <f t="shared" si="362"/>
        <v>95.537051760751211</v>
      </c>
    </row>
    <row r="510" spans="1:48" ht="12" customHeight="1">
      <c r="A510" s="53"/>
      <c r="B510" s="53"/>
      <c r="C510" s="53"/>
      <c r="D510" s="53"/>
      <c r="E510" s="53"/>
      <c r="F510" s="53"/>
      <c r="G510" s="53"/>
      <c r="H510" s="309"/>
      <c r="I510" s="351"/>
      <c r="J510" s="352">
        <v>3811</v>
      </c>
      <c r="K510" s="353" t="s">
        <v>286</v>
      </c>
      <c r="L510" s="311">
        <f t="shared" si="354"/>
        <v>600048</v>
      </c>
      <c r="M510" s="311">
        <f t="shared" si="354"/>
        <v>79640.055743579534</v>
      </c>
      <c r="N510" s="312">
        <f t="shared" si="354"/>
        <v>1032736</v>
      </c>
      <c r="O510" s="312">
        <f t="shared" si="354"/>
        <v>137067.62227088725</v>
      </c>
      <c r="P510" s="313">
        <f t="shared" si="354"/>
        <v>137200</v>
      </c>
      <c r="Q510" s="313">
        <f t="shared" si="354"/>
        <v>198700</v>
      </c>
      <c r="R510" s="96">
        <f t="shared" si="354"/>
        <v>198722</v>
      </c>
      <c r="S510" s="98" t="e">
        <f t="shared" ca="1" si="354"/>
        <v>#NAME?</v>
      </c>
      <c r="T510" s="98"/>
      <c r="U510" s="98"/>
      <c r="V510" s="200">
        <f>V511</f>
        <v>196400</v>
      </c>
      <c r="W510" s="200">
        <f t="shared" si="354"/>
        <v>196400</v>
      </c>
      <c r="X510" s="96">
        <f t="shared" si="354"/>
        <v>138400</v>
      </c>
      <c r="Y510" s="173">
        <f t="shared" si="354"/>
        <v>149000</v>
      </c>
      <c r="Z510" s="173">
        <f t="shared" si="354"/>
        <v>0</v>
      </c>
      <c r="AA510" s="370" t="e">
        <f t="shared" ca="1" si="343"/>
        <v>#NAME?</v>
      </c>
      <c r="AB510" s="173"/>
      <c r="AC510" s="174">
        <f t="shared" si="354"/>
        <v>137500</v>
      </c>
      <c r="AD510" s="174">
        <f t="shared" si="354"/>
        <v>137500</v>
      </c>
      <c r="AE510" s="178">
        <f t="shared" si="355"/>
        <v>172.1088979548303</v>
      </c>
      <c r="AF510" s="178">
        <f t="shared" si="356"/>
        <v>100.09657840919655</v>
      </c>
      <c r="AG510" s="178">
        <f t="shared" si="356"/>
        <v>144.82507288629739</v>
      </c>
      <c r="AH510" s="178">
        <f t="shared" si="357"/>
        <v>69.199798691494721</v>
      </c>
      <c r="AI510" s="173"/>
      <c r="AJ510" s="173">
        <v>149000</v>
      </c>
      <c r="AK510" s="171">
        <f t="shared" si="336"/>
        <v>98.831533499058992</v>
      </c>
      <c r="AL510" s="171">
        <f t="shared" si="337"/>
        <v>70.468431771894089</v>
      </c>
      <c r="AM510" s="171">
        <f t="shared" si="337"/>
        <v>107.65895953757226</v>
      </c>
      <c r="AN510" s="98"/>
      <c r="AO510" s="193"/>
      <c r="AP510" s="193" t="e">
        <f t="shared" ca="1" si="341"/>
        <v>#NAME?</v>
      </c>
      <c r="AQ510" s="200">
        <f>AQ511</f>
        <v>189853.14</v>
      </c>
      <c r="AR510" s="204">
        <f t="shared" si="358"/>
        <v>98.831533499058992</v>
      </c>
      <c r="AS510" s="204">
        <f t="shared" si="359"/>
        <v>100</v>
      </c>
      <c r="AT510" s="204">
        <f t="shared" si="360"/>
        <v>98.831533499058992</v>
      </c>
      <c r="AU510" s="204">
        <f t="shared" si="361"/>
        <v>96.666568228105916</v>
      </c>
      <c r="AV510" s="204">
        <f t="shared" si="362"/>
        <v>95.537051760751211</v>
      </c>
    </row>
    <row r="511" spans="1:48" ht="12" customHeight="1">
      <c r="A511" s="53"/>
      <c r="B511" s="53"/>
      <c r="C511" s="53"/>
      <c r="D511" s="53"/>
      <c r="E511" s="53"/>
      <c r="F511" s="53"/>
      <c r="G511" s="53"/>
      <c r="H511" s="1">
        <v>158</v>
      </c>
      <c r="I511" s="397">
        <v>320</v>
      </c>
      <c r="J511" s="229">
        <v>3811</v>
      </c>
      <c r="K511" s="18" t="s">
        <v>455</v>
      </c>
      <c r="L511" s="112">
        <f t="shared" ref="L511:S511" si="363">L512+L513+L514</f>
        <v>600048</v>
      </c>
      <c r="M511" s="112">
        <f t="shared" si="363"/>
        <v>79640.055743579534</v>
      </c>
      <c r="N511" s="113">
        <f t="shared" si="363"/>
        <v>1032736</v>
      </c>
      <c r="O511" s="113">
        <f t="shared" si="363"/>
        <v>137067.62227088725</v>
      </c>
      <c r="P511" s="114">
        <f t="shared" si="363"/>
        <v>137200</v>
      </c>
      <c r="Q511" s="114">
        <f t="shared" si="363"/>
        <v>198700</v>
      </c>
      <c r="R511" s="88">
        <f t="shared" si="363"/>
        <v>198722</v>
      </c>
      <c r="S511" s="90" t="e">
        <f t="shared" ca="1" si="363"/>
        <v>#NAME?</v>
      </c>
      <c r="T511" s="90"/>
      <c r="U511" s="90"/>
      <c r="V511" s="200">
        <f>V512+V513+V514</f>
        <v>196400</v>
      </c>
      <c r="W511" s="200">
        <f>W512+W513+W514</f>
        <v>196400</v>
      </c>
      <c r="X511" s="88">
        <f>X512+X513+X514</f>
        <v>138400</v>
      </c>
      <c r="Y511" s="171">
        <f>Y512+Y513+Y514</f>
        <v>149000</v>
      </c>
      <c r="Z511" s="171">
        <f>Z512+Z513+Z514</f>
        <v>0</v>
      </c>
      <c r="AA511" s="370" t="e">
        <f t="shared" ca="1" si="343"/>
        <v>#NAME?</v>
      </c>
      <c r="AB511" s="171"/>
      <c r="AC511" s="172">
        <f>AC512+AC513+AC514</f>
        <v>137500</v>
      </c>
      <c r="AD511" s="172">
        <f>AD512+AD513+AD514</f>
        <v>137500</v>
      </c>
      <c r="AE511" s="178">
        <f t="shared" si="355"/>
        <v>172.1088979548303</v>
      </c>
      <c r="AF511" s="178">
        <f t="shared" si="356"/>
        <v>100.09657840919655</v>
      </c>
      <c r="AG511" s="178">
        <f t="shared" si="356"/>
        <v>144.82507288629739</v>
      </c>
      <c r="AH511" s="178">
        <f t="shared" si="357"/>
        <v>69.199798691494721</v>
      </c>
      <c r="AI511" s="171"/>
      <c r="AJ511" s="171">
        <v>149000</v>
      </c>
      <c r="AK511" s="171">
        <f t="shared" si="336"/>
        <v>98.831533499058992</v>
      </c>
      <c r="AL511" s="171">
        <f t="shared" si="337"/>
        <v>70.468431771894089</v>
      </c>
      <c r="AM511" s="171">
        <f t="shared" si="337"/>
        <v>107.65895953757226</v>
      </c>
      <c r="AN511" s="90"/>
      <c r="AO511" s="193"/>
      <c r="AP511" s="193" t="e">
        <f t="shared" ca="1" si="341"/>
        <v>#NAME?</v>
      </c>
      <c r="AQ511" s="200">
        <f>AQ512+AQ513+AQ514</f>
        <v>189853.14</v>
      </c>
      <c r="AR511" s="204">
        <f t="shared" si="358"/>
        <v>98.831533499058992</v>
      </c>
      <c r="AS511" s="204">
        <f t="shared" si="359"/>
        <v>100</v>
      </c>
      <c r="AT511" s="204">
        <f t="shared" si="360"/>
        <v>98.831533499058992</v>
      </c>
      <c r="AU511" s="204">
        <f t="shared" si="361"/>
        <v>96.666568228105916</v>
      </c>
      <c r="AV511" s="204">
        <f t="shared" si="362"/>
        <v>95.537051760751211</v>
      </c>
    </row>
    <row r="512" spans="1:48" ht="12" customHeight="1">
      <c r="A512" s="53"/>
      <c r="B512" s="53"/>
      <c r="C512" s="53"/>
      <c r="D512" s="53"/>
      <c r="E512" s="53"/>
      <c r="F512" s="53"/>
      <c r="G512" s="53"/>
      <c r="H512" s="1" t="s">
        <v>456</v>
      </c>
      <c r="I512" s="397">
        <v>320</v>
      </c>
      <c r="J512" s="229">
        <v>3811</v>
      </c>
      <c r="K512" s="18" t="s">
        <v>457</v>
      </c>
      <c r="L512" s="130">
        <v>358000</v>
      </c>
      <c r="M512" s="130">
        <f>358000/7.5345</f>
        <v>47514.765412436122</v>
      </c>
      <c r="N512" s="131">
        <v>375000</v>
      </c>
      <c r="O512" s="131">
        <f>N512/7.5345</f>
        <v>49771.053155484769</v>
      </c>
      <c r="P512" s="132">
        <v>60700</v>
      </c>
      <c r="Q512" s="163">
        <v>105000</v>
      </c>
      <c r="R512" s="159">
        <v>105000</v>
      </c>
      <c r="S512" s="165" t="e">
        <f ca="1">__xlfn.XLOOKUP(H512,[1]Izvršenje_proračuna_po_pozicija!$B$2:$B$153,[1]Izvršenje_proračuna_po_pozicija!$E$2:$E$153,0)</f>
        <v>#NAME?</v>
      </c>
      <c r="T512" s="165"/>
      <c r="U512" s="165"/>
      <c r="V512" s="200">
        <v>130000</v>
      </c>
      <c r="W512" s="200">
        <v>130000</v>
      </c>
      <c r="X512" s="164">
        <v>130000</v>
      </c>
      <c r="Y512" s="378">
        <v>140000</v>
      </c>
      <c r="Z512" s="378"/>
      <c r="AA512" s="370" t="e">
        <f t="shared" ca="1" si="343"/>
        <v>#NAME?</v>
      </c>
      <c r="AB512" s="183"/>
      <c r="AC512" s="178">
        <v>61000</v>
      </c>
      <c r="AD512" s="178">
        <v>61000</v>
      </c>
      <c r="AE512" s="178">
        <f t="shared" si="355"/>
        <v>104.74860335195532</v>
      </c>
      <c r="AF512" s="178">
        <f t="shared" si="356"/>
        <v>121.95844</v>
      </c>
      <c r="AG512" s="178">
        <f t="shared" si="356"/>
        <v>172.98187808896211</v>
      </c>
      <c r="AH512" s="178">
        <f t="shared" si="357"/>
        <v>58.095238095238102</v>
      </c>
      <c r="AI512" s="183"/>
      <c r="AJ512" s="378">
        <v>140000</v>
      </c>
      <c r="AK512" s="171">
        <f t="shared" si="336"/>
        <v>123.80952380952381</v>
      </c>
      <c r="AL512" s="171">
        <f t="shared" si="337"/>
        <v>100</v>
      </c>
      <c r="AM512" s="171">
        <f t="shared" si="337"/>
        <v>107.69230769230769</v>
      </c>
      <c r="AN512" s="165"/>
      <c r="AO512" s="193"/>
      <c r="AP512" s="193" t="e">
        <f t="shared" ca="1" si="341"/>
        <v>#NAME?</v>
      </c>
      <c r="AQ512" s="200">
        <v>130000</v>
      </c>
      <c r="AR512" s="204">
        <f t="shared" si="358"/>
        <v>123.80952380952381</v>
      </c>
      <c r="AS512" s="204">
        <f t="shared" si="359"/>
        <v>100</v>
      </c>
      <c r="AT512" s="204">
        <f t="shared" si="360"/>
        <v>123.80952380952381</v>
      </c>
      <c r="AU512" s="204">
        <f t="shared" si="361"/>
        <v>100</v>
      </c>
      <c r="AV512" s="204">
        <f t="shared" si="362"/>
        <v>123.80952380952381</v>
      </c>
    </row>
    <row r="513" spans="1:48" ht="12" customHeight="1">
      <c r="A513" s="53"/>
      <c r="B513" s="53"/>
      <c r="C513" s="53"/>
      <c r="D513" s="53"/>
      <c r="E513" s="53"/>
      <c r="F513" s="53"/>
      <c r="G513" s="53"/>
      <c r="H513" s="1" t="s">
        <v>458</v>
      </c>
      <c r="I513" s="397">
        <v>320</v>
      </c>
      <c r="J513" s="229">
        <v>3811</v>
      </c>
      <c r="K513" s="18" t="s">
        <v>459</v>
      </c>
      <c r="L513" s="130">
        <v>217048</v>
      </c>
      <c r="M513" s="130">
        <f>217048/7.5345</f>
        <v>28807.220120777754</v>
      </c>
      <c r="N513" s="131">
        <v>607736</v>
      </c>
      <c r="O513" s="131">
        <f>N513/7.5345</f>
        <v>80660.42869467118</v>
      </c>
      <c r="P513" s="132">
        <v>69200</v>
      </c>
      <c r="Q513" s="163">
        <v>86400</v>
      </c>
      <c r="R513" s="159">
        <v>86422</v>
      </c>
      <c r="S513" s="165" t="e">
        <f ca="1">__xlfn.XLOOKUP(H513,[1]Izvršenje_proračuna_po_pozicija!$B$2:$B$153,[1]Izvršenje_proračuna_po_pozicija!$E$2:$E$153,0)</f>
        <v>#NAME?</v>
      </c>
      <c r="T513" s="165"/>
      <c r="U513" s="165"/>
      <c r="V513" s="200">
        <v>58000</v>
      </c>
      <c r="W513" s="200">
        <v>58000</v>
      </c>
      <c r="X513" s="164"/>
      <c r="Y513" s="378"/>
      <c r="Z513" s="378"/>
      <c r="AA513" s="370" t="e">
        <f t="shared" ca="1" si="343"/>
        <v>#NAME?</v>
      </c>
      <c r="AB513" s="183"/>
      <c r="AC513" s="178">
        <v>69200</v>
      </c>
      <c r="AD513" s="178">
        <v>69200</v>
      </c>
      <c r="AE513" s="178">
        <f t="shared" si="355"/>
        <v>280.00073716412959</v>
      </c>
      <c r="AF513" s="178">
        <f t="shared" si="356"/>
        <v>85.791758263456501</v>
      </c>
      <c r="AG513" s="178">
        <f t="shared" si="356"/>
        <v>124.85549132947978</v>
      </c>
      <c r="AH513" s="178">
        <f t="shared" si="357"/>
        <v>80.092592592592595</v>
      </c>
      <c r="AI513" s="183"/>
      <c r="AJ513" s="378"/>
      <c r="AK513" s="171">
        <f t="shared" si="336"/>
        <v>67.112540788225218</v>
      </c>
      <c r="AL513" s="171">
        <f t="shared" si="337"/>
        <v>0</v>
      </c>
      <c r="AM513" s="171"/>
      <c r="AN513" s="165"/>
      <c r="AO513" s="193"/>
      <c r="AP513" s="193" t="e">
        <f t="shared" ca="1" si="341"/>
        <v>#NAME?</v>
      </c>
      <c r="AQ513" s="200">
        <v>51853.14</v>
      </c>
      <c r="AR513" s="204">
        <f t="shared" si="358"/>
        <v>67.112540788225218</v>
      </c>
      <c r="AS513" s="204">
        <f t="shared" si="359"/>
        <v>100</v>
      </c>
      <c r="AT513" s="204">
        <f t="shared" si="360"/>
        <v>67.112540788225218</v>
      </c>
      <c r="AU513" s="204">
        <f t="shared" si="361"/>
        <v>89.401965517241379</v>
      </c>
      <c r="AV513" s="204">
        <f t="shared" si="362"/>
        <v>59.999930573233662</v>
      </c>
    </row>
    <row r="514" spans="1:48" ht="12" customHeight="1">
      <c r="A514" s="53"/>
      <c r="B514" s="53"/>
      <c r="C514" s="53"/>
      <c r="D514" s="53"/>
      <c r="E514" s="53"/>
      <c r="F514" s="53"/>
      <c r="G514" s="53"/>
      <c r="H514" s="1" t="s">
        <v>460</v>
      </c>
      <c r="I514" s="397">
        <v>320</v>
      </c>
      <c r="J514" s="229">
        <v>3811</v>
      </c>
      <c r="K514" s="18" t="s">
        <v>461</v>
      </c>
      <c r="L514" s="130">
        <v>25000</v>
      </c>
      <c r="M514" s="130">
        <f>25000/7.5345</f>
        <v>3318.0702103656513</v>
      </c>
      <c r="N514" s="131">
        <v>50000</v>
      </c>
      <c r="O514" s="131">
        <f>N514/7.5345</f>
        <v>6636.1404207313026</v>
      </c>
      <c r="P514" s="132">
        <v>7300</v>
      </c>
      <c r="Q514" s="132">
        <v>7300</v>
      </c>
      <c r="R514" s="159">
        <v>7300</v>
      </c>
      <c r="S514" s="165" t="e">
        <f ca="1">__xlfn.XLOOKUP(H514,[1]Izvršenje_proračuna_po_pozicija!$B$2:$B$153,[1]Izvršenje_proračuna_po_pozicija!$E$2:$E$153,0)</f>
        <v>#NAME?</v>
      </c>
      <c r="T514" s="165"/>
      <c r="U514" s="165"/>
      <c r="V514" s="200">
        <v>8400</v>
      </c>
      <c r="W514" s="200">
        <v>8400</v>
      </c>
      <c r="X514" s="164">
        <v>8400</v>
      </c>
      <c r="Y514" s="378">
        <v>9000</v>
      </c>
      <c r="Z514" s="378"/>
      <c r="AA514" s="370" t="e">
        <f t="shared" ca="1" si="343"/>
        <v>#NAME?</v>
      </c>
      <c r="AB514" s="183"/>
      <c r="AC514" s="178">
        <v>7300</v>
      </c>
      <c r="AD514" s="178">
        <v>7300</v>
      </c>
      <c r="AE514" s="178">
        <f t="shared" si="355"/>
        <v>200</v>
      </c>
      <c r="AF514" s="178">
        <f t="shared" si="356"/>
        <v>110.00369999999999</v>
      </c>
      <c r="AG514" s="178">
        <f t="shared" si="356"/>
        <v>100</v>
      </c>
      <c r="AH514" s="178">
        <f t="shared" si="357"/>
        <v>100</v>
      </c>
      <c r="AI514" s="183"/>
      <c r="AJ514" s="378">
        <v>9000</v>
      </c>
      <c r="AK514" s="171">
        <f t="shared" si="336"/>
        <v>115.06849315068493</v>
      </c>
      <c r="AL514" s="171">
        <f t="shared" si="337"/>
        <v>100</v>
      </c>
      <c r="AM514" s="171">
        <f t="shared" si="337"/>
        <v>107.14285714285714</v>
      </c>
      <c r="AN514" s="165"/>
      <c r="AO514" s="193"/>
      <c r="AP514" s="193" t="e">
        <f t="shared" ca="1" si="341"/>
        <v>#NAME?</v>
      </c>
      <c r="AQ514" s="200">
        <v>8000</v>
      </c>
      <c r="AR514" s="204">
        <f t="shared" si="358"/>
        <v>115.06849315068493</v>
      </c>
      <c r="AS514" s="204">
        <f t="shared" si="359"/>
        <v>100</v>
      </c>
      <c r="AT514" s="204">
        <f t="shared" si="360"/>
        <v>115.06849315068493</v>
      </c>
      <c r="AU514" s="204">
        <f t="shared" si="361"/>
        <v>95.238095238095227</v>
      </c>
      <c r="AV514" s="204">
        <f t="shared" si="362"/>
        <v>109.58904109589041</v>
      </c>
    </row>
    <row r="515" spans="1:48" ht="12" customHeight="1">
      <c r="A515" s="42"/>
      <c r="B515" s="42"/>
      <c r="C515" s="42"/>
      <c r="D515" s="42"/>
      <c r="E515" s="42"/>
      <c r="F515" s="42"/>
      <c r="G515" s="42"/>
      <c r="H515" s="308"/>
      <c r="I515" s="14"/>
      <c r="J515" s="2"/>
      <c r="K515" s="84"/>
      <c r="L515" s="85">
        <v>1</v>
      </c>
      <c r="M515" s="85">
        <v>2</v>
      </c>
      <c r="N515" s="86">
        <v>3</v>
      </c>
      <c r="O515" s="86">
        <v>4</v>
      </c>
      <c r="P515" s="87">
        <v>5</v>
      </c>
      <c r="Q515" s="87">
        <v>6</v>
      </c>
      <c r="R515" s="160"/>
      <c r="S515" s="165" t="e">
        <f ca="1">__xlfn.XLOOKUP(H515,[1]Izvršenje_proračuna_po_pozicija!$B$2:$B$153,[1]Izvršenje_proračuna_po_pozicija!$E$2:$E$153,0)</f>
        <v>#NAME?</v>
      </c>
      <c r="T515" s="165"/>
      <c r="U515" s="165"/>
      <c r="V515" s="200"/>
      <c r="W515" s="200"/>
      <c r="X515" s="361"/>
      <c r="Y515" s="373"/>
      <c r="Z515" s="373"/>
      <c r="AA515" s="370" t="e">
        <f t="shared" ca="1" si="343"/>
        <v>#NAME?</v>
      </c>
      <c r="AB515" s="181"/>
      <c r="AC515" s="182">
        <v>7</v>
      </c>
      <c r="AD515" s="182">
        <v>8</v>
      </c>
      <c r="AE515" s="182">
        <v>9</v>
      </c>
      <c r="AF515" s="182">
        <v>10</v>
      </c>
      <c r="AG515" s="182">
        <v>11</v>
      </c>
      <c r="AH515" s="182">
        <v>12</v>
      </c>
      <c r="AI515" s="181"/>
      <c r="AJ515" s="373"/>
      <c r="AK515" s="171"/>
      <c r="AL515" s="171"/>
      <c r="AM515" s="171"/>
      <c r="AN515" s="161"/>
      <c r="AO515" s="193"/>
      <c r="AP515" s="193" t="e">
        <f t="shared" ca="1" si="341"/>
        <v>#NAME?</v>
      </c>
      <c r="AQ515" s="200"/>
      <c r="AR515" s="204"/>
      <c r="AS515" s="204"/>
      <c r="AT515" s="204"/>
      <c r="AU515" s="204"/>
      <c r="AV515" s="204"/>
    </row>
    <row r="516" spans="1:48" ht="12" customHeight="1">
      <c r="A516" s="390" t="s">
        <v>415</v>
      </c>
      <c r="B516" s="391"/>
      <c r="C516" s="391"/>
      <c r="D516" s="391"/>
      <c r="E516" s="391"/>
      <c r="F516" s="391"/>
      <c r="G516" s="391"/>
      <c r="H516" s="435"/>
      <c r="I516" s="447" t="s">
        <v>462</v>
      </c>
      <c r="J516" s="448"/>
      <c r="K516" s="124"/>
      <c r="L516" s="335">
        <f t="shared" ref="L516:S516" si="364">L518</f>
        <v>0</v>
      </c>
      <c r="M516" s="335">
        <f t="shared" si="364"/>
        <v>0</v>
      </c>
      <c r="N516" s="336">
        <f t="shared" si="364"/>
        <v>0</v>
      </c>
      <c r="O516" s="336">
        <f t="shared" si="364"/>
        <v>0</v>
      </c>
      <c r="P516" s="337">
        <f t="shared" si="364"/>
        <v>0</v>
      </c>
      <c r="Q516" s="337">
        <f t="shared" si="364"/>
        <v>0</v>
      </c>
      <c r="R516" s="359">
        <f t="shared" si="364"/>
        <v>0</v>
      </c>
      <c r="S516" s="360" t="e">
        <f t="shared" ca="1" si="364"/>
        <v>#NAME?</v>
      </c>
      <c r="T516" s="360"/>
      <c r="U516" s="360"/>
      <c r="V516" s="200">
        <f>V518</f>
        <v>0</v>
      </c>
      <c r="W516" s="200">
        <f>W518</f>
        <v>0</v>
      </c>
      <c r="X516" s="359">
        <f>X518</f>
        <v>0</v>
      </c>
      <c r="Y516" s="371">
        <f>Y518</f>
        <v>0</v>
      </c>
      <c r="Z516" s="371">
        <f>Z518</f>
        <v>0</v>
      </c>
      <c r="AA516" s="370" t="e">
        <f t="shared" ca="1" si="343"/>
        <v>#NAME?</v>
      </c>
      <c r="AB516" s="371"/>
      <c r="AC516" s="372">
        <f>AC518</f>
        <v>0</v>
      </c>
      <c r="AD516" s="372">
        <f>AD518</f>
        <v>0</v>
      </c>
      <c r="AE516" s="178"/>
      <c r="AF516" s="178"/>
      <c r="AG516" s="178"/>
      <c r="AH516" s="178"/>
      <c r="AI516" s="371"/>
      <c r="AJ516" s="371">
        <v>0</v>
      </c>
      <c r="AK516" s="171"/>
      <c r="AL516" s="171"/>
      <c r="AM516" s="171"/>
      <c r="AN516" s="360"/>
      <c r="AO516" s="193"/>
      <c r="AP516" s="193" t="e">
        <f t="shared" ca="1" si="341"/>
        <v>#NAME?</v>
      </c>
      <c r="AQ516" s="200">
        <f>AQ518</f>
        <v>0</v>
      </c>
      <c r="AR516" s="204"/>
      <c r="AS516" s="204"/>
      <c r="AT516" s="204"/>
      <c r="AU516" s="204"/>
      <c r="AV516" s="204"/>
    </row>
    <row r="517" spans="1:48" ht="12" customHeight="1">
      <c r="A517" s="69"/>
      <c r="B517" s="69"/>
      <c r="C517" s="69"/>
      <c r="D517" s="69"/>
      <c r="E517" s="69"/>
      <c r="F517" s="69"/>
      <c r="G517" s="69"/>
      <c r="H517" s="389"/>
      <c r="I517" s="449"/>
      <c r="J517" s="7"/>
      <c r="K517" s="70"/>
      <c r="L517" s="217"/>
      <c r="M517" s="217"/>
      <c r="N517" s="218"/>
      <c r="O517" s="218"/>
      <c r="P517" s="219"/>
      <c r="Q517" s="219"/>
      <c r="R517" s="282"/>
      <c r="S517" s="165" t="e">
        <f ca="1">__xlfn.XLOOKUP(H517,[1]Izvršenje_proračuna_po_pozicija!$B$2:$B$153,[1]Izvršenje_proračuna_po_pozicija!$E$2:$E$153,0)</f>
        <v>#NAME?</v>
      </c>
      <c r="T517" s="165"/>
      <c r="U517" s="165"/>
      <c r="V517" s="200"/>
      <c r="W517" s="200"/>
      <c r="X517" s="167"/>
      <c r="Y517" s="424"/>
      <c r="Z517" s="424"/>
      <c r="AA517" s="370" t="e">
        <f t="shared" ca="1" si="343"/>
        <v>#NAME?</v>
      </c>
      <c r="AB517" s="223"/>
      <c r="AC517" s="224"/>
      <c r="AD517" s="224"/>
      <c r="AE517" s="178"/>
      <c r="AF517" s="178"/>
      <c r="AG517" s="178"/>
      <c r="AH517" s="178"/>
      <c r="AI517" s="223"/>
      <c r="AJ517" s="424"/>
      <c r="AK517" s="171"/>
      <c r="AL517" s="171"/>
      <c r="AM517" s="171"/>
      <c r="AN517" s="222"/>
      <c r="AO517" s="193"/>
      <c r="AP517" s="193" t="e">
        <f t="shared" ca="1" si="341"/>
        <v>#NAME?</v>
      </c>
      <c r="AQ517" s="200"/>
      <c r="AR517" s="204"/>
      <c r="AS517" s="204"/>
      <c r="AT517" s="204"/>
      <c r="AU517" s="204"/>
      <c r="AV517" s="204"/>
    </row>
    <row r="518" spans="1:48" ht="12" customHeight="1">
      <c r="A518" s="24"/>
      <c r="B518" s="24"/>
      <c r="C518" s="24"/>
      <c r="D518" s="24"/>
      <c r="E518" s="24"/>
      <c r="F518" s="24"/>
      <c r="G518" s="24"/>
      <c r="H518" s="393"/>
      <c r="I518" s="404"/>
      <c r="J518" s="281">
        <v>4</v>
      </c>
      <c r="K518" s="2" t="s">
        <v>463</v>
      </c>
      <c r="L518" s="112">
        <f t="shared" ref="L518:AD520" si="365">L519</f>
        <v>0</v>
      </c>
      <c r="M518" s="112">
        <f t="shared" si="365"/>
        <v>0</v>
      </c>
      <c r="N518" s="113">
        <f t="shared" si="365"/>
        <v>0</v>
      </c>
      <c r="O518" s="113">
        <f t="shared" si="365"/>
        <v>0</v>
      </c>
      <c r="P518" s="114">
        <f t="shared" si="365"/>
        <v>0</v>
      </c>
      <c r="Q518" s="114">
        <f t="shared" si="365"/>
        <v>0</v>
      </c>
      <c r="R518" s="88">
        <f t="shared" si="365"/>
        <v>0</v>
      </c>
      <c r="S518" s="90" t="e">
        <f t="shared" ca="1" si="365"/>
        <v>#NAME?</v>
      </c>
      <c r="T518" s="90"/>
      <c r="U518" s="90"/>
      <c r="V518" s="200">
        <f>V519</f>
        <v>0</v>
      </c>
      <c r="W518" s="200">
        <f t="shared" si="365"/>
        <v>0</v>
      </c>
      <c r="X518" s="88">
        <f t="shared" si="365"/>
        <v>0</v>
      </c>
      <c r="Y518" s="171">
        <f t="shared" si="365"/>
        <v>0</v>
      </c>
      <c r="Z518" s="171">
        <f t="shared" si="365"/>
        <v>0</v>
      </c>
      <c r="AA518" s="370" t="e">
        <f t="shared" ca="1" si="343"/>
        <v>#NAME?</v>
      </c>
      <c r="AB518" s="171"/>
      <c r="AC518" s="172">
        <f t="shared" si="365"/>
        <v>0</v>
      </c>
      <c r="AD518" s="172">
        <f t="shared" si="365"/>
        <v>0</v>
      </c>
      <c r="AE518" s="178"/>
      <c r="AF518" s="178"/>
      <c r="AG518" s="178"/>
      <c r="AH518" s="178"/>
      <c r="AI518" s="171"/>
      <c r="AJ518" s="171">
        <v>0</v>
      </c>
      <c r="AK518" s="171"/>
      <c r="AL518" s="171"/>
      <c r="AM518" s="171"/>
      <c r="AN518" s="90"/>
      <c r="AO518" s="193"/>
      <c r="AP518" s="193" t="e">
        <f t="shared" ca="1" si="341"/>
        <v>#NAME?</v>
      </c>
      <c r="AQ518" s="200">
        <f>AQ519</f>
        <v>0</v>
      </c>
      <c r="AR518" s="204"/>
      <c r="AS518" s="204"/>
      <c r="AT518" s="204"/>
      <c r="AU518" s="204"/>
      <c r="AV518" s="204"/>
    </row>
    <row r="519" spans="1:48" ht="12" customHeight="1">
      <c r="A519" s="301"/>
      <c r="B519" s="301"/>
      <c r="C519" s="301"/>
      <c r="D519" s="301"/>
      <c r="E519" s="301"/>
      <c r="F519" s="301"/>
      <c r="G519" s="301"/>
      <c r="H519" s="307"/>
      <c r="I519" s="405"/>
      <c r="J519" s="302">
        <v>42</v>
      </c>
      <c r="K519" s="343" t="s">
        <v>464</v>
      </c>
      <c r="L519" s="112">
        <f t="shared" si="365"/>
        <v>0</v>
      </c>
      <c r="M519" s="112">
        <f t="shared" si="365"/>
        <v>0</v>
      </c>
      <c r="N519" s="113">
        <f t="shared" si="365"/>
        <v>0</v>
      </c>
      <c r="O519" s="113">
        <f t="shared" si="365"/>
        <v>0</v>
      </c>
      <c r="P519" s="114">
        <f t="shared" si="365"/>
        <v>0</v>
      </c>
      <c r="Q519" s="114">
        <f t="shared" si="365"/>
        <v>0</v>
      </c>
      <c r="R519" s="88">
        <f t="shared" si="365"/>
        <v>0</v>
      </c>
      <c r="S519" s="90" t="e">
        <f t="shared" ca="1" si="365"/>
        <v>#NAME?</v>
      </c>
      <c r="T519" s="90"/>
      <c r="U519" s="90"/>
      <c r="V519" s="200">
        <f>V520</f>
        <v>0</v>
      </c>
      <c r="W519" s="200">
        <f t="shared" si="365"/>
        <v>0</v>
      </c>
      <c r="X519" s="88">
        <f t="shared" si="365"/>
        <v>0</v>
      </c>
      <c r="Y519" s="171">
        <f t="shared" si="365"/>
        <v>0</v>
      </c>
      <c r="Z519" s="171">
        <f t="shared" si="365"/>
        <v>0</v>
      </c>
      <c r="AA519" s="370" t="e">
        <f t="shared" ca="1" si="343"/>
        <v>#NAME?</v>
      </c>
      <c r="AB519" s="171"/>
      <c r="AC519" s="172">
        <f t="shared" si="365"/>
        <v>0</v>
      </c>
      <c r="AD519" s="172">
        <f t="shared" si="365"/>
        <v>0</v>
      </c>
      <c r="AE519" s="178"/>
      <c r="AF519" s="178"/>
      <c r="AG519" s="178"/>
      <c r="AH519" s="178"/>
      <c r="AI519" s="171"/>
      <c r="AJ519" s="171">
        <v>0</v>
      </c>
      <c r="AK519" s="171"/>
      <c r="AL519" s="171"/>
      <c r="AM519" s="171"/>
      <c r="AN519" s="90"/>
      <c r="AO519" s="193"/>
      <c r="AP519" s="193" t="e">
        <f t="shared" ca="1" si="341"/>
        <v>#NAME?</v>
      </c>
      <c r="AQ519" s="200">
        <f>AQ520</f>
        <v>0</v>
      </c>
      <c r="AR519" s="204"/>
      <c r="AS519" s="204"/>
      <c r="AT519" s="204"/>
      <c r="AU519" s="204"/>
      <c r="AV519" s="204"/>
    </row>
    <row r="520" spans="1:48" ht="12" customHeight="1">
      <c r="A520" s="62"/>
      <c r="B520" s="62"/>
      <c r="C520" s="62"/>
      <c r="D520" s="62"/>
      <c r="E520" s="62"/>
      <c r="F520" s="62"/>
      <c r="G520" s="62"/>
      <c r="H520" s="304"/>
      <c r="I520" s="346"/>
      <c r="J520" s="303">
        <v>421</v>
      </c>
      <c r="K520" s="19" t="s">
        <v>465</v>
      </c>
      <c r="L520" s="112">
        <f t="shared" si="365"/>
        <v>0</v>
      </c>
      <c r="M520" s="112">
        <f t="shared" si="365"/>
        <v>0</v>
      </c>
      <c r="N520" s="113">
        <f t="shared" si="365"/>
        <v>0</v>
      </c>
      <c r="O520" s="113">
        <f t="shared" si="365"/>
        <v>0</v>
      </c>
      <c r="P520" s="114">
        <f t="shared" si="365"/>
        <v>0</v>
      </c>
      <c r="Q520" s="114">
        <f t="shared" si="365"/>
        <v>0</v>
      </c>
      <c r="R520" s="88">
        <f t="shared" si="365"/>
        <v>0</v>
      </c>
      <c r="S520" s="90" t="e">
        <f t="shared" ca="1" si="365"/>
        <v>#NAME?</v>
      </c>
      <c r="T520" s="90"/>
      <c r="U520" s="90"/>
      <c r="V520" s="200">
        <f>V521</f>
        <v>0</v>
      </c>
      <c r="W520" s="200">
        <f t="shared" si="365"/>
        <v>0</v>
      </c>
      <c r="X520" s="88">
        <f t="shared" si="365"/>
        <v>0</v>
      </c>
      <c r="Y520" s="171">
        <f t="shared" si="365"/>
        <v>0</v>
      </c>
      <c r="Z520" s="171">
        <f t="shared" si="365"/>
        <v>0</v>
      </c>
      <c r="AA520" s="370" t="e">
        <f t="shared" ca="1" si="343"/>
        <v>#NAME?</v>
      </c>
      <c r="AB520" s="171"/>
      <c r="AC520" s="172">
        <f t="shared" si="365"/>
        <v>0</v>
      </c>
      <c r="AD520" s="172">
        <f t="shared" si="365"/>
        <v>0</v>
      </c>
      <c r="AE520" s="178"/>
      <c r="AF520" s="178"/>
      <c r="AG520" s="178"/>
      <c r="AH520" s="178"/>
      <c r="AI520" s="171"/>
      <c r="AJ520" s="171">
        <v>0</v>
      </c>
      <c r="AK520" s="171"/>
      <c r="AL520" s="171"/>
      <c r="AM520" s="171"/>
      <c r="AN520" s="90"/>
      <c r="AO520" s="193"/>
      <c r="AP520" s="193" t="e">
        <f t="shared" ca="1" si="341"/>
        <v>#NAME?</v>
      </c>
      <c r="AQ520" s="200">
        <f>AQ521</f>
        <v>0</v>
      </c>
      <c r="AR520" s="204"/>
      <c r="AS520" s="204"/>
      <c r="AT520" s="204"/>
      <c r="AU520" s="204"/>
      <c r="AV520" s="204"/>
    </row>
    <row r="521" spans="1:48" ht="12" customHeight="1">
      <c r="A521" s="53"/>
      <c r="B521" s="53"/>
      <c r="C521" s="53"/>
      <c r="D521" s="53"/>
      <c r="E521" s="53"/>
      <c r="F521" s="53"/>
      <c r="G521" s="53"/>
      <c r="H521" s="1">
        <v>183</v>
      </c>
      <c r="I521" s="345">
        <v>320</v>
      </c>
      <c r="J521" s="229">
        <v>4212</v>
      </c>
      <c r="K521" s="18" t="s">
        <v>466</v>
      </c>
      <c r="L521" s="130">
        <v>0</v>
      </c>
      <c r="M521" s="130">
        <v>0</v>
      </c>
      <c r="N521" s="131">
        <v>0</v>
      </c>
      <c r="O521" s="131">
        <v>0</v>
      </c>
      <c r="P521" s="132">
        <v>0</v>
      </c>
      <c r="Q521" s="132">
        <v>0</v>
      </c>
      <c r="R521" s="159">
        <v>0</v>
      </c>
      <c r="S521" s="165" t="e">
        <f ca="1">__xlfn.XLOOKUP(H521,[1]Izvršenje_proračuna_po_pozicija!$B$2:$B$153,[1]Izvršenje_proračuna_po_pozicija!$E$2:$E$153,0)</f>
        <v>#NAME?</v>
      </c>
      <c r="T521" s="165"/>
      <c r="U521" s="165"/>
      <c r="V521" s="200"/>
      <c r="W521" s="200"/>
      <c r="X521" s="164"/>
      <c r="Y521" s="378"/>
      <c r="Z521" s="378"/>
      <c r="AA521" s="370" t="e">
        <f t="shared" ca="1" si="343"/>
        <v>#NAME?</v>
      </c>
      <c r="AB521" s="183"/>
      <c r="AC521" s="178">
        <v>0</v>
      </c>
      <c r="AD521" s="178">
        <v>0</v>
      </c>
      <c r="AE521" s="178"/>
      <c r="AF521" s="178"/>
      <c r="AG521" s="178"/>
      <c r="AH521" s="178"/>
      <c r="AI521" s="183"/>
      <c r="AJ521" s="378"/>
      <c r="AK521" s="171"/>
      <c r="AL521" s="171"/>
      <c r="AM521" s="171"/>
      <c r="AN521" s="165"/>
      <c r="AO521" s="193"/>
      <c r="AP521" s="193" t="e">
        <f t="shared" ca="1" si="341"/>
        <v>#NAME?</v>
      </c>
      <c r="AQ521" s="200"/>
      <c r="AR521" s="204"/>
      <c r="AS521" s="204"/>
      <c r="AT521" s="204"/>
      <c r="AU521" s="204"/>
      <c r="AV521" s="204"/>
    </row>
    <row r="522" spans="1:48" ht="12" customHeight="1">
      <c r="A522" s="69"/>
      <c r="B522" s="69"/>
      <c r="C522" s="69"/>
      <c r="D522" s="69"/>
      <c r="E522" s="69"/>
      <c r="F522" s="69"/>
      <c r="G522" s="69"/>
      <c r="H522" s="436"/>
      <c r="I522" s="3"/>
      <c r="J522" s="7"/>
      <c r="K522" s="7"/>
      <c r="L522" s="85"/>
      <c r="M522" s="85"/>
      <c r="N522" s="86"/>
      <c r="O522" s="86"/>
      <c r="P522" s="87"/>
      <c r="Q522" s="87"/>
      <c r="R522" s="160"/>
      <c r="S522" s="165" t="e">
        <f ca="1">__xlfn.XLOOKUP(H522,[1]Izvršenje_proračuna_po_pozicija!$B$2:$B$153,[1]Izvršenje_proračuna_po_pozicija!$E$2:$E$153,0)</f>
        <v>#NAME?</v>
      </c>
      <c r="T522" s="165"/>
      <c r="U522" s="165"/>
      <c r="V522" s="200"/>
      <c r="W522" s="200"/>
      <c r="X522" s="361"/>
      <c r="Y522" s="373"/>
      <c r="Z522" s="373"/>
      <c r="AA522" s="370" t="e">
        <f t="shared" ca="1" si="343"/>
        <v>#NAME?</v>
      </c>
      <c r="AB522" s="181"/>
      <c r="AC522" s="182"/>
      <c r="AD522" s="182"/>
      <c r="AE522" s="178"/>
      <c r="AF522" s="178"/>
      <c r="AG522" s="178"/>
      <c r="AH522" s="178"/>
      <c r="AI522" s="181"/>
      <c r="AJ522" s="373"/>
      <c r="AK522" s="171"/>
      <c r="AL522" s="171"/>
      <c r="AM522" s="171"/>
      <c r="AN522" s="161"/>
      <c r="AO522" s="193"/>
      <c r="AP522" s="193" t="e">
        <f t="shared" ca="1" si="341"/>
        <v>#NAME?</v>
      </c>
      <c r="AQ522" s="200"/>
      <c r="AR522" s="204"/>
      <c r="AS522" s="204"/>
      <c r="AT522" s="204"/>
      <c r="AU522" s="204"/>
      <c r="AV522" s="204"/>
    </row>
    <row r="523" spans="1:48" ht="12" customHeight="1">
      <c r="A523" s="437"/>
      <c r="B523" s="437"/>
      <c r="C523" s="437"/>
      <c r="D523" s="437"/>
      <c r="E523" s="437"/>
      <c r="F523" s="437"/>
      <c r="G523" s="437"/>
      <c r="H523" s="446"/>
      <c r="I523" s="450" t="s">
        <v>467</v>
      </c>
      <c r="J523" s="451"/>
      <c r="K523" s="452"/>
      <c r="L523" s="335">
        <f t="shared" ref="L523:Z523" si="366">L524</f>
        <v>0</v>
      </c>
      <c r="M523" s="335">
        <f t="shared" si="366"/>
        <v>0</v>
      </c>
      <c r="N523" s="336">
        <f t="shared" si="366"/>
        <v>0</v>
      </c>
      <c r="O523" s="336">
        <f t="shared" si="366"/>
        <v>0</v>
      </c>
      <c r="P523" s="337">
        <f t="shared" si="366"/>
        <v>0</v>
      </c>
      <c r="Q523" s="337">
        <f t="shared" si="366"/>
        <v>0</v>
      </c>
      <c r="R523" s="359">
        <f t="shared" si="366"/>
        <v>0</v>
      </c>
      <c r="S523" s="360" t="e">
        <f t="shared" ca="1" si="366"/>
        <v>#NAME?</v>
      </c>
      <c r="T523" s="360"/>
      <c r="U523" s="360"/>
      <c r="V523" s="200">
        <f>V524</f>
        <v>0</v>
      </c>
      <c r="W523" s="200">
        <f t="shared" si="366"/>
        <v>0</v>
      </c>
      <c r="X523" s="359">
        <f t="shared" si="366"/>
        <v>7000</v>
      </c>
      <c r="Y523" s="371">
        <f t="shared" si="366"/>
        <v>7000</v>
      </c>
      <c r="Z523" s="371">
        <f t="shared" si="366"/>
        <v>0</v>
      </c>
      <c r="AA523" s="370" t="e">
        <f t="shared" ca="1" si="343"/>
        <v>#NAME?</v>
      </c>
      <c r="AB523" s="371"/>
      <c r="AC523" s="372">
        <f>AC524</f>
        <v>5000</v>
      </c>
      <c r="AD523" s="372">
        <f>AD524</f>
        <v>5000</v>
      </c>
      <c r="AE523" s="178"/>
      <c r="AF523" s="178"/>
      <c r="AG523" s="178"/>
      <c r="AH523" s="178"/>
      <c r="AI523" s="371"/>
      <c r="AJ523" s="371">
        <v>7000</v>
      </c>
      <c r="AK523" s="171"/>
      <c r="AL523" s="171"/>
      <c r="AM523" s="171">
        <f t="shared" ref="AM523:AM531" si="367">Y523/X523*100</f>
        <v>100</v>
      </c>
      <c r="AN523" s="360"/>
      <c r="AO523" s="193"/>
      <c r="AP523" s="193" t="e">
        <f t="shared" ca="1" si="341"/>
        <v>#NAME?</v>
      </c>
      <c r="AQ523" s="200">
        <f>AQ524</f>
        <v>0</v>
      </c>
      <c r="AR523" s="204"/>
      <c r="AS523" s="204"/>
      <c r="AT523" s="204"/>
      <c r="AU523" s="204"/>
      <c r="AV523" s="204"/>
    </row>
    <row r="524" spans="1:48" ht="12" customHeight="1">
      <c r="A524" s="390" t="s">
        <v>331</v>
      </c>
      <c r="B524" s="391"/>
      <c r="C524" s="391"/>
      <c r="D524" s="391"/>
      <c r="E524" s="391"/>
      <c r="F524" s="391"/>
      <c r="G524" s="391"/>
      <c r="H524" s="392"/>
      <c r="I524" s="453" t="s">
        <v>468</v>
      </c>
      <c r="J524" s="454"/>
      <c r="K524" s="124"/>
      <c r="L524" s="112">
        <f t="shared" ref="L524:S524" si="368">L526</f>
        <v>0</v>
      </c>
      <c r="M524" s="112">
        <f t="shared" si="368"/>
        <v>0</v>
      </c>
      <c r="N524" s="113">
        <f t="shared" si="368"/>
        <v>0</v>
      </c>
      <c r="O524" s="113">
        <f t="shared" si="368"/>
        <v>0</v>
      </c>
      <c r="P524" s="114">
        <f t="shared" si="368"/>
        <v>0</v>
      </c>
      <c r="Q524" s="114">
        <f t="shared" si="368"/>
        <v>0</v>
      </c>
      <c r="R524" s="88">
        <f t="shared" si="368"/>
        <v>0</v>
      </c>
      <c r="S524" s="90" t="e">
        <f t="shared" ca="1" si="368"/>
        <v>#NAME?</v>
      </c>
      <c r="T524" s="90"/>
      <c r="U524" s="90"/>
      <c r="V524" s="200">
        <f>V526</f>
        <v>0</v>
      </c>
      <c r="W524" s="200">
        <f>W526</f>
        <v>0</v>
      </c>
      <c r="X524" s="88">
        <f>X526</f>
        <v>7000</v>
      </c>
      <c r="Y524" s="171">
        <f>Y526</f>
        <v>7000</v>
      </c>
      <c r="Z524" s="171">
        <f>Z526</f>
        <v>0</v>
      </c>
      <c r="AA524" s="370" t="e">
        <f t="shared" ca="1" si="343"/>
        <v>#NAME?</v>
      </c>
      <c r="AB524" s="171"/>
      <c r="AC524" s="172">
        <f>AC526</f>
        <v>5000</v>
      </c>
      <c r="AD524" s="172">
        <f>AD526</f>
        <v>5000</v>
      </c>
      <c r="AE524" s="178"/>
      <c r="AF524" s="178"/>
      <c r="AG524" s="178"/>
      <c r="AH524" s="178"/>
      <c r="AI524" s="171"/>
      <c r="AJ524" s="171">
        <v>7000</v>
      </c>
      <c r="AK524" s="171"/>
      <c r="AL524" s="171"/>
      <c r="AM524" s="171">
        <f t="shared" si="367"/>
        <v>100</v>
      </c>
      <c r="AN524" s="90"/>
      <c r="AO524" s="193"/>
      <c r="AP524" s="193" t="e">
        <f t="shared" ca="1" si="341"/>
        <v>#NAME?</v>
      </c>
      <c r="AQ524" s="200">
        <f>AQ526</f>
        <v>0</v>
      </c>
      <c r="AR524" s="204"/>
      <c r="AS524" s="204"/>
      <c r="AT524" s="204"/>
      <c r="AU524" s="204"/>
      <c r="AV524" s="204"/>
    </row>
    <row r="525" spans="1:48" ht="12" customHeight="1">
      <c r="A525" s="69"/>
      <c r="B525" s="69"/>
      <c r="C525" s="69"/>
      <c r="D525" s="69"/>
      <c r="E525" s="69"/>
      <c r="F525" s="69"/>
      <c r="G525" s="69"/>
      <c r="H525" s="436"/>
      <c r="I525" s="3"/>
      <c r="J525" s="7"/>
      <c r="K525" s="7"/>
      <c r="L525" s="85"/>
      <c r="M525" s="85"/>
      <c r="N525" s="86"/>
      <c r="O525" s="86"/>
      <c r="P525" s="87"/>
      <c r="Q525" s="87"/>
      <c r="R525" s="160"/>
      <c r="S525" s="165" t="e">
        <f ca="1">__xlfn.XLOOKUP(H525,[1]Izvršenje_proračuna_po_pozicija!$B$2:$B$153,[1]Izvršenje_proračuna_po_pozicija!$E$2:$E$153,0)</f>
        <v>#NAME?</v>
      </c>
      <c r="T525" s="165"/>
      <c r="U525" s="165"/>
      <c r="V525" s="200"/>
      <c r="W525" s="200"/>
      <c r="X525" s="361"/>
      <c r="Y525" s="373"/>
      <c r="Z525" s="373"/>
      <c r="AA525" s="370" t="e">
        <f t="shared" ca="1" si="343"/>
        <v>#NAME?</v>
      </c>
      <c r="AB525" s="181"/>
      <c r="AC525" s="182"/>
      <c r="AD525" s="182"/>
      <c r="AE525" s="178"/>
      <c r="AF525" s="178"/>
      <c r="AG525" s="178"/>
      <c r="AH525" s="178"/>
      <c r="AI525" s="181"/>
      <c r="AJ525" s="373"/>
      <c r="AK525" s="171"/>
      <c r="AL525" s="171"/>
      <c r="AM525" s="171"/>
      <c r="AN525" s="161"/>
      <c r="AO525" s="193"/>
      <c r="AP525" s="193" t="e">
        <f t="shared" ca="1" si="341"/>
        <v>#NAME?</v>
      </c>
      <c r="AQ525" s="200"/>
      <c r="AR525" s="204"/>
      <c r="AS525" s="204"/>
      <c r="AT525" s="204"/>
      <c r="AU525" s="204"/>
      <c r="AV525" s="204"/>
    </row>
    <row r="526" spans="1:48" ht="12" customHeight="1">
      <c r="A526" s="24"/>
      <c r="B526" s="24"/>
      <c r="C526" s="24"/>
      <c r="D526" s="24"/>
      <c r="E526" s="24"/>
      <c r="F526" s="24"/>
      <c r="G526" s="24"/>
      <c r="H526" s="393"/>
      <c r="I526" s="345"/>
      <c r="J526" s="281">
        <v>3</v>
      </c>
      <c r="K526" s="2" t="s">
        <v>224</v>
      </c>
      <c r="L526" s="112">
        <f t="shared" ref="L526:S527" si="369">L527</f>
        <v>0</v>
      </c>
      <c r="M526" s="112">
        <f t="shared" si="369"/>
        <v>0</v>
      </c>
      <c r="N526" s="113">
        <f t="shared" si="369"/>
        <v>0</v>
      </c>
      <c r="O526" s="113">
        <f t="shared" si="369"/>
        <v>0</v>
      </c>
      <c r="P526" s="114">
        <f t="shared" si="369"/>
        <v>0</v>
      </c>
      <c r="Q526" s="114">
        <f t="shared" si="369"/>
        <v>0</v>
      </c>
      <c r="R526" s="88">
        <f t="shared" si="369"/>
        <v>0</v>
      </c>
      <c r="S526" s="90" t="e">
        <f t="shared" ca="1" si="369"/>
        <v>#NAME?</v>
      </c>
      <c r="T526" s="90"/>
      <c r="U526" s="90"/>
      <c r="V526" s="200">
        <f>V527</f>
        <v>0</v>
      </c>
      <c r="W526" s="200">
        <f t="shared" ref="W526:Z527" si="370">W527</f>
        <v>0</v>
      </c>
      <c r="X526" s="88">
        <f t="shared" si="370"/>
        <v>7000</v>
      </c>
      <c r="Y526" s="171">
        <f t="shared" si="370"/>
        <v>7000</v>
      </c>
      <c r="Z526" s="171">
        <f t="shared" si="370"/>
        <v>0</v>
      </c>
      <c r="AA526" s="370" t="e">
        <f t="shared" ca="1" si="343"/>
        <v>#NAME?</v>
      </c>
      <c r="AB526" s="171"/>
      <c r="AC526" s="172">
        <f>AC527</f>
        <v>5000</v>
      </c>
      <c r="AD526" s="172">
        <f>AD527</f>
        <v>5000</v>
      </c>
      <c r="AE526" s="178"/>
      <c r="AF526" s="178"/>
      <c r="AG526" s="178"/>
      <c r="AH526" s="178"/>
      <c r="AI526" s="171"/>
      <c r="AJ526" s="171">
        <v>7000</v>
      </c>
      <c r="AK526" s="171"/>
      <c r="AL526" s="171"/>
      <c r="AM526" s="171">
        <f t="shared" si="367"/>
        <v>100</v>
      </c>
      <c r="AN526" s="90"/>
      <c r="AO526" s="193"/>
      <c r="AP526" s="193" t="e">
        <f t="shared" ca="1" si="341"/>
        <v>#NAME?</v>
      </c>
      <c r="AQ526" s="200">
        <f>AQ527</f>
        <v>0</v>
      </c>
      <c r="AR526" s="204"/>
      <c r="AS526" s="204"/>
      <c r="AT526" s="204"/>
      <c r="AU526" s="204"/>
      <c r="AV526" s="204"/>
    </row>
    <row r="527" spans="1:48" ht="12" customHeight="1">
      <c r="A527" s="301"/>
      <c r="B527" s="301"/>
      <c r="C527" s="301"/>
      <c r="D527" s="301"/>
      <c r="E527" s="301"/>
      <c r="F527" s="301"/>
      <c r="G527" s="301"/>
      <c r="H527" s="307"/>
      <c r="I527" s="455"/>
      <c r="J527" s="302">
        <v>35</v>
      </c>
      <c r="K527" s="343" t="s">
        <v>272</v>
      </c>
      <c r="L527" s="112">
        <f t="shared" si="369"/>
        <v>0</v>
      </c>
      <c r="M527" s="112">
        <f t="shared" si="369"/>
        <v>0</v>
      </c>
      <c r="N527" s="113">
        <f t="shared" si="369"/>
        <v>0</v>
      </c>
      <c r="O527" s="113">
        <f t="shared" si="369"/>
        <v>0</v>
      </c>
      <c r="P527" s="114">
        <f t="shared" si="369"/>
        <v>0</v>
      </c>
      <c r="Q527" s="114">
        <f t="shared" si="369"/>
        <v>0</v>
      </c>
      <c r="R527" s="88">
        <f t="shared" si="369"/>
        <v>0</v>
      </c>
      <c r="S527" s="90" t="e">
        <f t="shared" ca="1" si="369"/>
        <v>#NAME?</v>
      </c>
      <c r="T527" s="90"/>
      <c r="U527" s="90"/>
      <c r="V527" s="200">
        <f>V528</f>
        <v>0</v>
      </c>
      <c r="W527" s="200">
        <f t="shared" si="370"/>
        <v>0</v>
      </c>
      <c r="X527" s="88">
        <f t="shared" si="370"/>
        <v>7000</v>
      </c>
      <c r="Y527" s="171">
        <f t="shared" si="370"/>
        <v>7000</v>
      </c>
      <c r="Z527" s="171">
        <f t="shared" si="370"/>
        <v>0</v>
      </c>
      <c r="AA527" s="370" t="e">
        <f t="shared" ca="1" si="343"/>
        <v>#NAME?</v>
      </c>
      <c r="AB527" s="171"/>
      <c r="AC527" s="172">
        <f>AC528</f>
        <v>5000</v>
      </c>
      <c r="AD527" s="172">
        <f>AD528</f>
        <v>5000</v>
      </c>
      <c r="AE527" s="178"/>
      <c r="AF527" s="178"/>
      <c r="AG527" s="178"/>
      <c r="AH527" s="178"/>
      <c r="AI527" s="171"/>
      <c r="AJ527" s="171">
        <v>7000</v>
      </c>
      <c r="AK527" s="171"/>
      <c r="AL527" s="171"/>
      <c r="AM527" s="171">
        <f t="shared" si="367"/>
        <v>100</v>
      </c>
      <c r="AN527" s="90"/>
      <c r="AO527" s="193"/>
      <c r="AP527" s="193" t="e">
        <f t="shared" ca="1" si="341"/>
        <v>#NAME?</v>
      </c>
      <c r="AQ527" s="200">
        <f>AQ528</f>
        <v>0</v>
      </c>
      <c r="AR527" s="204"/>
      <c r="AS527" s="204"/>
      <c r="AT527" s="204"/>
      <c r="AU527" s="204"/>
      <c r="AV527" s="204"/>
    </row>
    <row r="528" spans="1:48" ht="12" customHeight="1">
      <c r="A528" s="62"/>
      <c r="B528" s="62"/>
      <c r="C528" s="62"/>
      <c r="D528" s="62"/>
      <c r="E528" s="62"/>
      <c r="F528" s="62"/>
      <c r="G528" s="62"/>
      <c r="H528" s="304"/>
      <c r="I528" s="346"/>
      <c r="J528" s="303">
        <v>352</v>
      </c>
      <c r="K528" s="19" t="s">
        <v>469</v>
      </c>
      <c r="L528" s="112">
        <f t="shared" ref="L528:S528" si="371">L529+L530+L531</f>
        <v>0</v>
      </c>
      <c r="M528" s="112">
        <f t="shared" si="371"/>
        <v>0</v>
      </c>
      <c r="N528" s="113">
        <f t="shared" si="371"/>
        <v>0</v>
      </c>
      <c r="O528" s="113">
        <f t="shared" si="371"/>
        <v>0</v>
      </c>
      <c r="P528" s="114">
        <f t="shared" si="371"/>
        <v>0</v>
      </c>
      <c r="Q528" s="114">
        <f t="shared" si="371"/>
        <v>0</v>
      </c>
      <c r="R528" s="88">
        <f t="shared" si="371"/>
        <v>0</v>
      </c>
      <c r="S528" s="90" t="e">
        <f t="shared" ca="1" si="371"/>
        <v>#NAME?</v>
      </c>
      <c r="T528" s="90"/>
      <c r="U528" s="90"/>
      <c r="V528" s="200">
        <f>V529+V530+V531</f>
        <v>0</v>
      </c>
      <c r="W528" s="200">
        <f>W529+W530+W531</f>
        <v>0</v>
      </c>
      <c r="X528" s="88">
        <f>X529+X530+X531</f>
        <v>7000</v>
      </c>
      <c r="Y528" s="171">
        <f>Y529+Y530+Y531</f>
        <v>7000</v>
      </c>
      <c r="Z528" s="171">
        <f>Z529+Z530+Z531</f>
        <v>0</v>
      </c>
      <c r="AA528" s="370" t="e">
        <f t="shared" ca="1" si="343"/>
        <v>#NAME?</v>
      </c>
      <c r="AB528" s="171"/>
      <c r="AC528" s="172">
        <f>AC529+AC530+AC531</f>
        <v>5000</v>
      </c>
      <c r="AD528" s="172">
        <f>AD529+AD530+AD531</f>
        <v>5000</v>
      </c>
      <c r="AE528" s="178"/>
      <c r="AF528" s="178"/>
      <c r="AG528" s="178"/>
      <c r="AH528" s="178"/>
      <c r="AI528" s="171"/>
      <c r="AJ528" s="171">
        <v>7000</v>
      </c>
      <c r="AK528" s="171"/>
      <c r="AL528" s="171"/>
      <c r="AM528" s="171">
        <f t="shared" si="367"/>
        <v>100</v>
      </c>
      <c r="AN528" s="90"/>
      <c r="AO528" s="193"/>
      <c r="AP528" s="193" t="e">
        <f t="shared" ca="1" si="341"/>
        <v>#NAME?</v>
      </c>
      <c r="AQ528" s="200">
        <f>AQ529+AQ530+AQ531</f>
        <v>0</v>
      </c>
      <c r="AR528" s="204"/>
      <c r="AS528" s="204"/>
      <c r="AT528" s="204"/>
      <c r="AU528" s="204"/>
      <c r="AV528" s="204"/>
    </row>
    <row r="529" spans="1:48" ht="12" customHeight="1">
      <c r="A529" s="53"/>
      <c r="B529" s="53"/>
      <c r="C529" s="53"/>
      <c r="D529" s="53"/>
      <c r="E529" s="53"/>
      <c r="F529" s="53"/>
      <c r="G529" s="53"/>
      <c r="H529" s="1">
        <v>175</v>
      </c>
      <c r="I529" s="345">
        <v>421</v>
      </c>
      <c r="J529" s="229">
        <v>3523</v>
      </c>
      <c r="K529" s="18" t="s">
        <v>470</v>
      </c>
      <c r="L529" s="130">
        <v>0</v>
      </c>
      <c r="M529" s="130">
        <v>0</v>
      </c>
      <c r="N529" s="131">
        <v>0</v>
      </c>
      <c r="O529" s="131">
        <v>0</v>
      </c>
      <c r="P529" s="132">
        <v>0</v>
      </c>
      <c r="Q529" s="132">
        <v>0</v>
      </c>
      <c r="R529" s="159">
        <v>0</v>
      </c>
      <c r="S529" s="165" t="e">
        <f ca="1">__xlfn.XLOOKUP(H529,[1]Izvršenje_proračuna_po_pozicija!$B$2:$B$153,[1]Izvršenje_proračuna_po_pozicija!$E$2:$E$153,0)</f>
        <v>#NAME?</v>
      </c>
      <c r="T529" s="165"/>
      <c r="U529" s="165"/>
      <c r="V529" s="200"/>
      <c r="W529" s="200"/>
      <c r="X529" s="164"/>
      <c r="Y529" s="378"/>
      <c r="Z529" s="378"/>
      <c r="AA529" s="370" t="e">
        <f t="shared" ca="1" si="343"/>
        <v>#NAME?</v>
      </c>
      <c r="AB529" s="183"/>
      <c r="AC529" s="178">
        <v>0</v>
      </c>
      <c r="AD529" s="178">
        <v>0</v>
      </c>
      <c r="AE529" s="178"/>
      <c r="AF529" s="178"/>
      <c r="AG529" s="178"/>
      <c r="AH529" s="178"/>
      <c r="AI529" s="183"/>
      <c r="AJ529" s="378"/>
      <c r="AK529" s="171"/>
      <c r="AL529" s="171"/>
      <c r="AM529" s="171"/>
      <c r="AN529" s="165"/>
      <c r="AO529" s="193"/>
      <c r="AP529" s="193" t="e">
        <f t="shared" ca="1" si="341"/>
        <v>#NAME?</v>
      </c>
      <c r="AQ529" s="200"/>
      <c r="AR529" s="204"/>
      <c r="AS529" s="204"/>
      <c r="AT529" s="204"/>
      <c r="AU529" s="204"/>
      <c r="AV529" s="204"/>
    </row>
    <row r="530" spans="1:48" ht="12" customHeight="1">
      <c r="A530" s="53"/>
      <c r="B530" s="53"/>
      <c r="C530" s="53"/>
      <c r="D530" s="53"/>
      <c r="E530" s="53"/>
      <c r="F530" s="53"/>
      <c r="G530" s="53"/>
      <c r="H530" s="1" t="s">
        <v>471</v>
      </c>
      <c r="I530" s="345">
        <v>421</v>
      </c>
      <c r="J530" s="229">
        <v>3523</v>
      </c>
      <c r="K530" s="456" t="s">
        <v>472</v>
      </c>
      <c r="L530" s="130"/>
      <c r="M530" s="130"/>
      <c r="N530" s="131"/>
      <c r="O530" s="131"/>
      <c r="P530" s="132"/>
      <c r="Q530" s="132"/>
      <c r="R530" s="159"/>
      <c r="S530" s="165" t="e">
        <f ca="1">__xlfn.XLOOKUP(H530,[1]Izvršenje_proračuna_po_pozicija!$B$2:$B$153,[1]Izvršenje_proračuna_po_pozicija!$E$2:$E$153,0)</f>
        <v>#NAME?</v>
      </c>
      <c r="T530" s="165"/>
      <c r="U530" s="165"/>
      <c r="V530" s="200"/>
      <c r="W530" s="200"/>
      <c r="X530" s="164"/>
      <c r="Y530" s="378"/>
      <c r="Z530" s="378"/>
      <c r="AA530" s="370" t="e">
        <f t="shared" ca="1" si="343"/>
        <v>#NAME?</v>
      </c>
      <c r="AB530" s="183"/>
      <c r="AC530" s="178"/>
      <c r="AD530" s="178"/>
      <c r="AE530" s="178"/>
      <c r="AF530" s="178"/>
      <c r="AG530" s="178"/>
      <c r="AH530" s="178"/>
      <c r="AI530" s="183"/>
      <c r="AJ530" s="378"/>
      <c r="AK530" s="171"/>
      <c r="AL530" s="171"/>
      <c r="AM530" s="171"/>
      <c r="AN530" s="165"/>
      <c r="AO530" s="193"/>
      <c r="AP530" s="193" t="e">
        <f t="shared" ca="1" si="341"/>
        <v>#NAME?</v>
      </c>
      <c r="AQ530" s="200"/>
      <c r="AR530" s="204"/>
      <c r="AS530" s="204"/>
      <c r="AT530" s="204"/>
      <c r="AU530" s="204"/>
      <c r="AV530" s="204"/>
    </row>
    <row r="531" spans="1:48" ht="12" customHeight="1">
      <c r="A531" s="53"/>
      <c r="B531" s="53"/>
      <c r="C531" s="53"/>
      <c r="D531" s="53"/>
      <c r="E531" s="53"/>
      <c r="F531" s="53"/>
      <c r="G531" s="53"/>
      <c r="H531" s="1" t="s">
        <v>473</v>
      </c>
      <c r="I531" s="345">
        <v>442</v>
      </c>
      <c r="J531" s="229">
        <v>3523</v>
      </c>
      <c r="K531" s="456" t="s">
        <v>474</v>
      </c>
      <c r="L531" s="130">
        <v>0</v>
      </c>
      <c r="M531" s="130">
        <v>0</v>
      </c>
      <c r="N531" s="131">
        <v>0</v>
      </c>
      <c r="O531" s="131">
        <v>0</v>
      </c>
      <c r="P531" s="132">
        <v>0</v>
      </c>
      <c r="Q531" s="132">
        <v>0</v>
      </c>
      <c r="R531" s="159">
        <v>0</v>
      </c>
      <c r="S531" s="165" t="e">
        <f ca="1">__xlfn.XLOOKUP(H531,[1]Izvršenje_proračuna_po_pozicija!$B$2:$B$153,[1]Izvršenje_proračuna_po_pozicija!$E$2:$E$153,0)</f>
        <v>#NAME?</v>
      </c>
      <c r="T531" s="165"/>
      <c r="U531" s="165"/>
      <c r="V531" s="200">
        <v>0</v>
      </c>
      <c r="W531" s="200">
        <v>0</v>
      </c>
      <c r="X531" s="164">
        <v>7000</v>
      </c>
      <c r="Y531" s="378">
        <v>7000</v>
      </c>
      <c r="Z531" s="378"/>
      <c r="AA531" s="370" t="e">
        <f t="shared" ca="1" si="343"/>
        <v>#NAME?</v>
      </c>
      <c r="AB531" s="183"/>
      <c r="AC531" s="178">
        <v>5000</v>
      </c>
      <c r="AD531" s="178">
        <v>5000</v>
      </c>
      <c r="AE531" s="178"/>
      <c r="AF531" s="178"/>
      <c r="AG531" s="178"/>
      <c r="AH531" s="178"/>
      <c r="AI531" s="183"/>
      <c r="AJ531" s="378">
        <v>7000</v>
      </c>
      <c r="AK531" s="171"/>
      <c r="AL531" s="171"/>
      <c r="AM531" s="171">
        <f t="shared" si="367"/>
        <v>100</v>
      </c>
      <c r="AN531" s="165"/>
      <c r="AO531" s="193"/>
      <c r="AP531" s="193" t="e">
        <f t="shared" ca="1" si="341"/>
        <v>#NAME?</v>
      </c>
      <c r="AQ531" s="200"/>
      <c r="AR531" s="204"/>
      <c r="AS531" s="204"/>
      <c r="AT531" s="204"/>
      <c r="AU531" s="204"/>
      <c r="AV531" s="204"/>
    </row>
    <row r="532" spans="1:48" ht="12" customHeight="1">
      <c r="A532" s="42"/>
      <c r="B532" s="42"/>
      <c r="C532" s="42"/>
      <c r="D532" s="42"/>
      <c r="E532" s="42"/>
      <c r="F532" s="42"/>
      <c r="G532" s="42"/>
      <c r="H532" s="308"/>
      <c r="I532" s="14"/>
      <c r="J532" s="2"/>
      <c r="K532" s="84"/>
      <c r="L532" s="85"/>
      <c r="M532" s="85"/>
      <c r="N532" s="86"/>
      <c r="O532" s="86"/>
      <c r="P532" s="87"/>
      <c r="Q532" s="87"/>
      <c r="R532" s="160"/>
      <c r="S532" s="165" t="e">
        <f ca="1">__xlfn.XLOOKUP(H532,[1]Izvršenje_proračuna_po_pozicija!$B$2:$B$153,[1]Izvršenje_proračuna_po_pozicija!$E$2:$E$153,0)</f>
        <v>#NAME?</v>
      </c>
      <c r="T532" s="165"/>
      <c r="U532" s="165"/>
      <c r="V532" s="200"/>
      <c r="W532" s="200"/>
      <c r="X532" s="361"/>
      <c r="Y532" s="373"/>
      <c r="Z532" s="373"/>
      <c r="AA532" s="370" t="e">
        <f t="shared" ca="1" si="343"/>
        <v>#NAME?</v>
      </c>
      <c r="AB532" s="181"/>
      <c r="AC532" s="182"/>
      <c r="AD532" s="182"/>
      <c r="AE532" s="178"/>
      <c r="AF532" s="178"/>
      <c r="AG532" s="178"/>
      <c r="AH532" s="178"/>
      <c r="AI532" s="181"/>
      <c r="AJ532" s="373"/>
      <c r="AK532" s="171"/>
      <c r="AL532" s="171"/>
      <c r="AM532" s="171"/>
      <c r="AN532" s="161"/>
      <c r="AO532" s="193"/>
      <c r="AP532" s="193" t="e">
        <f t="shared" ca="1" si="341"/>
        <v>#NAME?</v>
      </c>
      <c r="AQ532" s="200"/>
      <c r="AR532" s="204"/>
      <c r="AS532" s="204"/>
      <c r="AT532" s="204"/>
      <c r="AU532" s="204"/>
      <c r="AV532" s="204"/>
    </row>
    <row r="533" spans="1:48" ht="12" customHeight="1">
      <c r="A533" s="437"/>
      <c r="B533" s="437"/>
      <c r="C533" s="437"/>
      <c r="D533" s="437"/>
      <c r="E533" s="437"/>
      <c r="F533" s="437"/>
      <c r="G533" s="437"/>
      <c r="H533" s="438"/>
      <c r="I533" s="457" t="s">
        <v>475</v>
      </c>
      <c r="J533" s="458"/>
      <c r="K533" s="127"/>
      <c r="L533" s="112">
        <f t="shared" ref="L533:S533" si="372">L534+L560+L568+L586</f>
        <v>6499069</v>
      </c>
      <c r="M533" s="112">
        <f t="shared" si="372"/>
        <v>862574.68976043526</v>
      </c>
      <c r="N533" s="113">
        <f t="shared" si="372"/>
        <v>5699999</v>
      </c>
      <c r="O533" s="113">
        <f t="shared" si="372"/>
        <v>756519.87524056004</v>
      </c>
      <c r="P533" s="114">
        <f t="shared" si="372"/>
        <v>902000</v>
      </c>
      <c r="Q533" s="114">
        <f t="shared" si="372"/>
        <v>900000</v>
      </c>
      <c r="R533" s="88">
        <f t="shared" si="372"/>
        <v>869598</v>
      </c>
      <c r="S533" s="90" t="e">
        <f t="shared" ca="1" si="372"/>
        <v>#NAME?</v>
      </c>
      <c r="T533" s="90"/>
      <c r="U533" s="90"/>
      <c r="V533" s="200">
        <f>V534+V560+V568+V586</f>
        <v>1150000</v>
      </c>
      <c r="W533" s="200">
        <f>W534+W560+W568+W586</f>
        <v>1112927</v>
      </c>
      <c r="X533" s="88">
        <f>X534+X560+X568+X586</f>
        <v>1695000</v>
      </c>
      <c r="Y533" s="171">
        <f>Y534+Y560+Y568+Y586</f>
        <v>2218000</v>
      </c>
      <c r="Z533" s="171">
        <f>Z534+Z560+Z568+Z586</f>
        <v>0</v>
      </c>
      <c r="AA533" s="370" t="e">
        <f t="shared" ca="1" si="343"/>
        <v>#NAME?</v>
      </c>
      <c r="AB533" s="171"/>
      <c r="AC533" s="172">
        <f>AC534+AC560+AC568+AC586</f>
        <v>858000</v>
      </c>
      <c r="AD533" s="172">
        <f>AD534+AD560+AD568+AD586</f>
        <v>858000</v>
      </c>
      <c r="AE533" s="178">
        <f>O533/M533*100</f>
        <v>87.7048543414449</v>
      </c>
      <c r="AF533" s="178">
        <f>P533/O533*100</f>
        <v>119.23017881231208</v>
      </c>
      <c r="AG533" s="178">
        <f>Q533/P533*100</f>
        <v>99.77827050997783</v>
      </c>
      <c r="AH533" s="178">
        <f>AC533/Q533*100</f>
        <v>95.333333333333343</v>
      </c>
      <c r="AI533" s="171"/>
      <c r="AJ533" s="171">
        <v>2218000</v>
      </c>
      <c r="AK533" s="171">
        <f t="shared" ref="AK533:AK591" si="373">W533/R533*100</f>
        <v>127.98178008689072</v>
      </c>
      <c r="AL533" s="171">
        <f t="shared" ref="AL533:AL591" si="374">X533/W533*100</f>
        <v>152.30109432155029</v>
      </c>
      <c r="AM533" s="171">
        <f>Y533/X533*100</f>
        <v>130.85545722713866</v>
      </c>
      <c r="AN533" s="90"/>
      <c r="AO533" s="193"/>
      <c r="AP533" s="193" t="e">
        <f t="shared" ca="1" si="341"/>
        <v>#NAME?</v>
      </c>
      <c r="AQ533" s="200">
        <f>AQ534+AQ560+AQ568+AQ586</f>
        <v>993604.97</v>
      </c>
      <c r="AR533" s="204">
        <f>V533/R533*100</f>
        <v>132.24501436295853</v>
      </c>
      <c r="AS533" s="204">
        <f>W533/V533*100</f>
        <v>96.77626086956522</v>
      </c>
      <c r="AT533" s="204">
        <f>W533/R533*100</f>
        <v>127.98178008689072</v>
      </c>
      <c r="AU533" s="204">
        <f>AQ533/W533*100</f>
        <v>89.278539383086226</v>
      </c>
      <c r="AV533" s="204">
        <f>AQ533/R533*100</f>
        <v>114.26026393804953</v>
      </c>
    </row>
    <row r="534" spans="1:48" ht="12" customHeight="1">
      <c r="A534" s="390" t="s">
        <v>331</v>
      </c>
      <c r="B534" s="391"/>
      <c r="C534" s="391"/>
      <c r="D534" s="391"/>
      <c r="E534" s="391"/>
      <c r="F534" s="391"/>
      <c r="G534" s="391"/>
      <c r="H534" s="392"/>
      <c r="I534" s="453" t="s">
        <v>476</v>
      </c>
      <c r="J534" s="454"/>
      <c r="K534" s="124"/>
      <c r="L534" s="112">
        <f t="shared" ref="L534:S534" si="375">L536</f>
        <v>936314</v>
      </c>
      <c r="M534" s="112">
        <f t="shared" si="375"/>
        <v>124270.22363793217</v>
      </c>
      <c r="N534" s="113">
        <f t="shared" si="375"/>
        <v>813850</v>
      </c>
      <c r="O534" s="113">
        <f t="shared" si="375"/>
        <v>108016.45762824341</v>
      </c>
      <c r="P534" s="114">
        <f t="shared" si="375"/>
        <v>142000</v>
      </c>
      <c r="Q534" s="114">
        <f t="shared" si="375"/>
        <v>139000</v>
      </c>
      <c r="R534" s="88">
        <f t="shared" si="375"/>
        <v>123990</v>
      </c>
      <c r="S534" s="90" t="e">
        <f t="shared" ca="1" si="375"/>
        <v>#NAME?</v>
      </c>
      <c r="T534" s="90"/>
      <c r="U534" s="90"/>
      <c r="V534" s="200">
        <f>V536</f>
        <v>245000</v>
      </c>
      <c r="W534" s="200">
        <f>W536</f>
        <v>245000</v>
      </c>
      <c r="X534" s="88">
        <f>X536</f>
        <v>235000</v>
      </c>
      <c r="Y534" s="171">
        <f>Y536</f>
        <v>433000</v>
      </c>
      <c r="Z534" s="171">
        <f>Z536</f>
        <v>0</v>
      </c>
      <c r="AA534" s="370" t="e">
        <f t="shared" ca="1" si="343"/>
        <v>#NAME?</v>
      </c>
      <c r="AB534" s="171"/>
      <c r="AC534" s="172">
        <f>AC536</f>
        <v>155000</v>
      </c>
      <c r="AD534" s="172">
        <f>AD536</f>
        <v>155000</v>
      </c>
      <c r="AE534" s="178">
        <f>O534/M534*100</f>
        <v>86.920627054599208</v>
      </c>
      <c r="AF534" s="178">
        <f>P534/O534*100</f>
        <v>131.46144866990232</v>
      </c>
      <c r="AG534" s="178">
        <f>Q534/P534*100</f>
        <v>97.887323943661968</v>
      </c>
      <c r="AH534" s="178">
        <f>AC534/Q534*100</f>
        <v>111.51079136690647</v>
      </c>
      <c r="AI534" s="171"/>
      <c r="AJ534" s="171">
        <v>433000</v>
      </c>
      <c r="AK534" s="171">
        <f t="shared" si="373"/>
        <v>197.59658036938464</v>
      </c>
      <c r="AL534" s="171">
        <f t="shared" si="374"/>
        <v>95.918367346938766</v>
      </c>
      <c r="AM534" s="171">
        <f>Y534/X534*100</f>
        <v>184.25531914893617</v>
      </c>
      <c r="AN534" s="90"/>
      <c r="AO534" s="193"/>
      <c r="AP534" s="193" t="e">
        <f t="shared" ca="1" si="341"/>
        <v>#NAME?</v>
      </c>
      <c r="AQ534" s="200">
        <f>AQ536</f>
        <v>233687.61000000002</v>
      </c>
      <c r="AR534" s="204">
        <f>V534/R534*100</f>
        <v>197.59658036938464</v>
      </c>
      <c r="AS534" s="204">
        <f>W534/V534*100</f>
        <v>100</v>
      </c>
      <c r="AT534" s="204">
        <f>W534/R534*100</f>
        <v>197.59658036938464</v>
      </c>
      <c r="AU534" s="204">
        <f>AQ534/W534*100</f>
        <v>95.382697959183687</v>
      </c>
      <c r="AV534" s="204">
        <f>AQ534/R534*100</f>
        <v>188.47294943140577</v>
      </c>
    </row>
    <row r="535" spans="1:48" ht="12" customHeight="1">
      <c r="A535" s="53"/>
      <c r="B535" s="53"/>
      <c r="C535" s="53"/>
      <c r="D535" s="53"/>
      <c r="E535" s="53"/>
      <c r="F535" s="53"/>
      <c r="G535" s="53"/>
      <c r="H535" s="1"/>
      <c r="I535" s="345"/>
      <c r="J535" s="229"/>
      <c r="K535" s="18"/>
      <c r="L535" s="119"/>
      <c r="M535" s="119"/>
      <c r="N535" s="120"/>
      <c r="O535" s="120"/>
      <c r="P535" s="121"/>
      <c r="Q535" s="121"/>
      <c r="R535" s="157"/>
      <c r="S535" s="165" t="e">
        <f ca="1">__xlfn.XLOOKUP(H535,[1]Izvršenje_proračuna_po_pozicija!$B$2:$B$153,[1]Izvršenje_proračuna_po_pozicija!$E$2:$E$153,0)</f>
        <v>#NAME?</v>
      </c>
      <c r="T535" s="165"/>
      <c r="U535" s="165"/>
      <c r="V535" s="200"/>
      <c r="W535" s="200"/>
      <c r="X535" s="164"/>
      <c r="Y535" s="369"/>
      <c r="Z535" s="369"/>
      <c r="AA535" s="370" t="e">
        <f t="shared" ca="1" si="343"/>
        <v>#NAME?</v>
      </c>
      <c r="AB535" s="179"/>
      <c r="AC535" s="180"/>
      <c r="AD535" s="180"/>
      <c r="AE535" s="178"/>
      <c r="AF535" s="178"/>
      <c r="AG535" s="178"/>
      <c r="AH535" s="178"/>
      <c r="AI535" s="179"/>
      <c r="AJ535" s="369"/>
      <c r="AK535" s="171"/>
      <c r="AL535" s="171"/>
      <c r="AM535" s="171"/>
      <c r="AN535" s="158"/>
      <c r="AO535" s="193"/>
      <c r="AP535" s="193" t="e">
        <f t="shared" ca="1" si="341"/>
        <v>#NAME?</v>
      </c>
      <c r="AQ535" s="200"/>
      <c r="AR535" s="204"/>
      <c r="AS535" s="204"/>
      <c r="AT535" s="204"/>
      <c r="AU535" s="204"/>
      <c r="AV535" s="204"/>
    </row>
    <row r="536" spans="1:48" ht="12" customHeight="1">
      <c r="A536" s="24"/>
      <c r="B536" s="24"/>
      <c r="C536" s="24"/>
      <c r="D536" s="24"/>
      <c r="E536" s="24"/>
      <c r="F536" s="24"/>
      <c r="G536" s="24"/>
      <c r="H536" s="393"/>
      <c r="I536" s="404"/>
      <c r="J536" s="281">
        <v>3</v>
      </c>
      <c r="K536" s="2" t="s">
        <v>224</v>
      </c>
      <c r="L536" s="112">
        <f t="shared" ref="L536:Z536" si="376">L537</f>
        <v>936314</v>
      </c>
      <c r="M536" s="112">
        <f t="shared" si="376"/>
        <v>124270.22363793217</v>
      </c>
      <c r="N536" s="113">
        <f t="shared" si="376"/>
        <v>813850</v>
      </c>
      <c r="O536" s="113">
        <f t="shared" si="376"/>
        <v>108016.45762824341</v>
      </c>
      <c r="P536" s="114">
        <f t="shared" si="376"/>
        <v>142000</v>
      </c>
      <c r="Q536" s="114">
        <f t="shared" si="376"/>
        <v>139000</v>
      </c>
      <c r="R536" s="88">
        <f t="shared" si="376"/>
        <v>123990</v>
      </c>
      <c r="S536" s="90" t="e">
        <f t="shared" ca="1" si="376"/>
        <v>#NAME?</v>
      </c>
      <c r="T536" s="90"/>
      <c r="U536" s="90"/>
      <c r="V536" s="200">
        <f>V537</f>
        <v>245000</v>
      </c>
      <c r="W536" s="200">
        <f t="shared" si="376"/>
        <v>245000</v>
      </c>
      <c r="X536" s="88">
        <f t="shared" si="376"/>
        <v>235000</v>
      </c>
      <c r="Y536" s="171">
        <f t="shared" si="376"/>
        <v>433000</v>
      </c>
      <c r="Z536" s="171">
        <f t="shared" si="376"/>
        <v>0</v>
      </c>
      <c r="AA536" s="370" t="e">
        <f t="shared" ca="1" si="343"/>
        <v>#NAME?</v>
      </c>
      <c r="AB536" s="171"/>
      <c r="AC536" s="172">
        <f>AC537</f>
        <v>155000</v>
      </c>
      <c r="AD536" s="172">
        <f>AD537</f>
        <v>155000</v>
      </c>
      <c r="AE536" s="178">
        <f>O536/M536*100</f>
        <v>86.920627054599208</v>
      </c>
      <c r="AF536" s="178">
        <f>P536/O536*100</f>
        <v>131.46144866990232</v>
      </c>
      <c r="AG536" s="178">
        <f>Q536/P536*100</f>
        <v>97.887323943661968</v>
      </c>
      <c r="AH536" s="178">
        <f>AC536/Q536*100</f>
        <v>111.51079136690647</v>
      </c>
      <c r="AI536" s="171"/>
      <c r="AJ536" s="171">
        <v>433000</v>
      </c>
      <c r="AK536" s="171">
        <f t="shared" si="373"/>
        <v>197.59658036938464</v>
      </c>
      <c r="AL536" s="171">
        <f t="shared" si="374"/>
        <v>95.918367346938766</v>
      </c>
      <c r="AM536" s="171">
        <f>Y536/X536*100</f>
        <v>184.25531914893617</v>
      </c>
      <c r="AN536" s="90"/>
      <c r="AO536" s="193"/>
      <c r="AP536" s="193" t="e">
        <f t="shared" ca="1" si="341"/>
        <v>#NAME?</v>
      </c>
      <c r="AQ536" s="200">
        <f>AQ537</f>
        <v>233687.61000000002</v>
      </c>
      <c r="AR536" s="204">
        <f>V536/R536*100</f>
        <v>197.59658036938464</v>
      </c>
      <c r="AS536" s="204">
        <f>W536/V536*100</f>
        <v>100</v>
      </c>
      <c r="AT536" s="204">
        <f>W536/R536*100</f>
        <v>197.59658036938464</v>
      </c>
      <c r="AU536" s="204">
        <f>AQ536/W536*100</f>
        <v>95.382697959183687</v>
      </c>
      <c r="AV536" s="204">
        <f>AQ536/R536*100</f>
        <v>188.47294943140577</v>
      </c>
    </row>
    <row r="537" spans="1:48" ht="12" customHeight="1">
      <c r="A537" s="301"/>
      <c r="B537" s="301"/>
      <c r="C537" s="301"/>
      <c r="D537" s="301"/>
      <c r="E537" s="301"/>
      <c r="F537" s="301"/>
      <c r="G537" s="301"/>
      <c r="H537" s="307"/>
      <c r="I537" s="405"/>
      <c r="J537" s="302">
        <v>32</v>
      </c>
      <c r="K537" s="343" t="s">
        <v>233</v>
      </c>
      <c r="L537" s="112">
        <f t="shared" ref="L537:S537" si="377">L539+L552</f>
        <v>936314</v>
      </c>
      <c r="M537" s="112">
        <f t="shared" si="377"/>
        <v>124270.22363793217</v>
      </c>
      <c r="N537" s="113">
        <f t="shared" si="377"/>
        <v>813850</v>
      </c>
      <c r="O537" s="113">
        <f t="shared" si="377"/>
        <v>108016.45762824341</v>
      </c>
      <c r="P537" s="114">
        <f t="shared" si="377"/>
        <v>142000</v>
      </c>
      <c r="Q537" s="114">
        <f t="shared" si="377"/>
        <v>139000</v>
      </c>
      <c r="R537" s="88">
        <f t="shared" si="377"/>
        <v>123990</v>
      </c>
      <c r="S537" s="90" t="e">
        <f t="shared" ca="1" si="377"/>
        <v>#NAME?</v>
      </c>
      <c r="T537" s="90"/>
      <c r="U537" s="90"/>
      <c r="V537" s="200">
        <f>V539+V552</f>
        <v>245000</v>
      </c>
      <c r="W537" s="200">
        <f>W539+W552</f>
        <v>245000</v>
      </c>
      <c r="X537" s="88">
        <f>X539+X552</f>
        <v>235000</v>
      </c>
      <c r="Y537" s="171">
        <f>Y539+Y552</f>
        <v>433000</v>
      </c>
      <c r="Z537" s="171">
        <f>Z539+Z552</f>
        <v>0</v>
      </c>
      <c r="AA537" s="370" t="e">
        <f t="shared" ca="1" si="343"/>
        <v>#NAME?</v>
      </c>
      <c r="AB537" s="171"/>
      <c r="AC537" s="172">
        <f>AC539+AC552</f>
        <v>155000</v>
      </c>
      <c r="AD537" s="172">
        <f>AD539+AD552</f>
        <v>155000</v>
      </c>
      <c r="AE537" s="178">
        <f>O537/M537*100</f>
        <v>86.920627054599208</v>
      </c>
      <c r="AF537" s="178">
        <f>P537/O537*100</f>
        <v>131.46144866990232</v>
      </c>
      <c r="AG537" s="178">
        <f>Q537/P537*100</f>
        <v>97.887323943661968</v>
      </c>
      <c r="AH537" s="178">
        <f>AC537/Q537*100</f>
        <v>111.51079136690647</v>
      </c>
      <c r="AI537" s="171"/>
      <c r="AJ537" s="171">
        <v>433000</v>
      </c>
      <c r="AK537" s="171">
        <f t="shared" si="373"/>
        <v>197.59658036938464</v>
      </c>
      <c r="AL537" s="171">
        <f t="shared" si="374"/>
        <v>95.918367346938766</v>
      </c>
      <c r="AM537" s="171">
        <f>Y537/X537*100</f>
        <v>184.25531914893617</v>
      </c>
      <c r="AN537" s="90"/>
      <c r="AO537" s="193"/>
      <c r="AP537" s="193" t="e">
        <f t="shared" ca="1" si="341"/>
        <v>#NAME?</v>
      </c>
      <c r="AQ537" s="200">
        <f>AQ539+AQ552</f>
        <v>233687.61000000002</v>
      </c>
      <c r="AR537" s="204">
        <f>V537/R537*100</f>
        <v>197.59658036938464</v>
      </c>
      <c r="AS537" s="204">
        <f>W537/V537*100</f>
        <v>100</v>
      </c>
      <c r="AT537" s="204">
        <f>W537/R537*100</f>
        <v>197.59658036938464</v>
      </c>
      <c r="AU537" s="204">
        <f>AQ537/W537*100</f>
        <v>95.382697959183687</v>
      </c>
      <c r="AV537" s="204">
        <f>AQ537/R537*100</f>
        <v>188.47294943140577</v>
      </c>
    </row>
    <row r="538" spans="1:48" ht="12" customHeight="1">
      <c r="A538" s="24"/>
      <c r="B538" s="24"/>
      <c r="C538" s="24"/>
      <c r="D538" s="24"/>
      <c r="E538" s="24"/>
      <c r="F538" s="24"/>
      <c r="G538" s="24"/>
      <c r="H538" s="393"/>
      <c r="I538" s="404"/>
      <c r="J538" s="281"/>
      <c r="K538" s="2"/>
      <c r="L538" s="112"/>
      <c r="M538" s="112"/>
      <c r="N538" s="113"/>
      <c r="O538" s="113"/>
      <c r="P538" s="114"/>
      <c r="Q538" s="114"/>
      <c r="R538" s="88"/>
      <c r="S538" s="165" t="e">
        <f ca="1">__xlfn.XLOOKUP(H538,[1]Izvršenje_proračuna_po_pozicija!$B$2:$B$153,[1]Izvršenje_proračuna_po_pozicija!$E$2:$E$153,0)</f>
        <v>#NAME?</v>
      </c>
      <c r="T538" s="165"/>
      <c r="U538" s="165"/>
      <c r="V538" s="200"/>
      <c r="W538" s="200"/>
      <c r="X538" s="167"/>
      <c r="Y538" s="370"/>
      <c r="Z538" s="370"/>
      <c r="AA538" s="370" t="e">
        <f t="shared" ca="1" si="343"/>
        <v>#NAME?</v>
      </c>
      <c r="AB538" s="171"/>
      <c r="AC538" s="172"/>
      <c r="AD538" s="172"/>
      <c r="AE538" s="178"/>
      <c r="AF538" s="178"/>
      <c r="AG538" s="178"/>
      <c r="AH538" s="178"/>
      <c r="AI538" s="171"/>
      <c r="AJ538" s="370"/>
      <c r="AK538" s="171"/>
      <c r="AL538" s="171"/>
      <c r="AM538" s="171"/>
      <c r="AN538" s="90"/>
      <c r="AO538" s="193"/>
      <c r="AP538" s="193" t="e">
        <f t="shared" ca="1" si="341"/>
        <v>#NAME?</v>
      </c>
      <c r="AQ538" s="200"/>
      <c r="AR538" s="204"/>
      <c r="AS538" s="204"/>
      <c r="AT538" s="204"/>
      <c r="AU538" s="204"/>
      <c r="AV538" s="204"/>
    </row>
    <row r="539" spans="1:48" ht="12" customHeight="1">
      <c r="A539" s="62"/>
      <c r="B539" s="62"/>
      <c r="C539" s="62"/>
      <c r="D539" s="62"/>
      <c r="E539" s="62"/>
      <c r="F539" s="62"/>
      <c r="G539" s="62"/>
      <c r="H539" s="304"/>
      <c r="I539" s="346"/>
      <c r="J539" s="303">
        <v>322</v>
      </c>
      <c r="K539" s="19" t="s">
        <v>477</v>
      </c>
      <c r="L539" s="112">
        <f t="shared" ref="L539:S539" si="378">L540+L541+L542+L543+L544+L545+L546+L547+L548+L549+L550</f>
        <v>0</v>
      </c>
      <c r="M539" s="112">
        <f t="shared" si="378"/>
        <v>0</v>
      </c>
      <c r="N539" s="113">
        <f t="shared" si="378"/>
        <v>50486</v>
      </c>
      <c r="O539" s="113">
        <f t="shared" si="378"/>
        <v>6700.6437056208106</v>
      </c>
      <c r="P539" s="114">
        <f t="shared" si="378"/>
        <v>15000</v>
      </c>
      <c r="Q539" s="114">
        <f t="shared" si="378"/>
        <v>7000</v>
      </c>
      <c r="R539" s="88">
        <f t="shared" si="378"/>
        <v>1954</v>
      </c>
      <c r="S539" s="90" t="e">
        <f t="shared" ca="1" si="378"/>
        <v>#NAME?</v>
      </c>
      <c r="T539" s="90"/>
      <c r="U539" s="90"/>
      <c r="V539" s="200">
        <f>V540+V541+V542+V543+V544+V545+V546+V547+V548+V549+V550</f>
        <v>3000</v>
      </c>
      <c r="W539" s="200">
        <f>W540+W541+W542+W543+W544+W545+W546+W547+W548+W549+W550</f>
        <v>3000</v>
      </c>
      <c r="X539" s="88">
        <f>X540+X541+X542+X543+X544+X545+X546+X547+X548+X549+X550</f>
        <v>15000</v>
      </c>
      <c r="Y539" s="171">
        <f>Y540+Y541+Y542+Y543+Y544+Y545+Y546+Y547+Y548+Y549+Y550</f>
        <v>18000</v>
      </c>
      <c r="Z539" s="171">
        <f>Z540+Z541+Z542+Z543+Z544+Z545+Z546+Z547+Z548+Z549+Z550</f>
        <v>0</v>
      </c>
      <c r="AA539" s="370" t="e">
        <f t="shared" ca="1" si="343"/>
        <v>#NAME?</v>
      </c>
      <c r="AB539" s="171"/>
      <c r="AC539" s="172">
        <f>AC540+AC541+AC542+AC543+AC544+AC545+AC546+AC547+AC548+AC549+AC550</f>
        <v>20000</v>
      </c>
      <c r="AD539" s="172">
        <f>AD540+AD541+AD542+AD543+AD544+AD545+AD546+AD547+AD548+AD549+AD550</f>
        <v>20000</v>
      </c>
      <c r="AE539" s="178"/>
      <c r="AF539" s="178"/>
      <c r="AG539" s="178"/>
      <c r="AH539" s="178"/>
      <c r="AI539" s="171"/>
      <c r="AJ539" s="171">
        <v>18000</v>
      </c>
      <c r="AK539" s="171">
        <f t="shared" si="373"/>
        <v>153.5312180143296</v>
      </c>
      <c r="AL539" s="171">
        <f t="shared" si="374"/>
        <v>500</v>
      </c>
      <c r="AM539" s="171">
        <f>Y539/X539*100</f>
        <v>120</v>
      </c>
      <c r="AN539" s="90"/>
      <c r="AO539" s="193"/>
      <c r="AP539" s="193" t="e">
        <f t="shared" ca="1" si="341"/>
        <v>#NAME?</v>
      </c>
      <c r="AQ539" s="200">
        <f>AQ540+AQ541+AQ542+AQ543+AQ544+AQ545+AQ546+AQ547+AQ548+AQ549+AQ550</f>
        <v>0</v>
      </c>
      <c r="AR539" s="204">
        <f>V539/R539*100</f>
        <v>153.5312180143296</v>
      </c>
      <c r="AS539" s="204">
        <f>W539/V539*100</f>
        <v>100</v>
      </c>
      <c r="AT539" s="204">
        <f>W539/R539*100</f>
        <v>153.5312180143296</v>
      </c>
      <c r="AU539" s="204">
        <f>AQ539/W539*100</f>
        <v>0</v>
      </c>
      <c r="AV539" s="204">
        <f>AQ539/R539*100</f>
        <v>0</v>
      </c>
    </row>
    <row r="540" spans="1:48" ht="12" customHeight="1">
      <c r="A540" s="53"/>
      <c r="B540" s="53"/>
      <c r="C540" s="53"/>
      <c r="D540" s="53"/>
      <c r="E540" s="53"/>
      <c r="F540" s="53"/>
      <c r="G540" s="53"/>
      <c r="H540" s="1" t="s">
        <v>478</v>
      </c>
      <c r="I540" s="345">
        <v>451</v>
      </c>
      <c r="J540" s="229">
        <v>3224</v>
      </c>
      <c r="K540" s="18" t="s">
        <v>479</v>
      </c>
      <c r="L540" s="130">
        <v>0</v>
      </c>
      <c r="M540" s="130">
        <v>0</v>
      </c>
      <c r="N540" s="131">
        <v>50486</v>
      </c>
      <c r="O540" s="131">
        <f>N540/7.5345</f>
        <v>6700.6437056208106</v>
      </c>
      <c r="P540" s="132">
        <v>15000</v>
      </c>
      <c r="Q540" s="163">
        <v>7000</v>
      </c>
      <c r="R540" s="159">
        <v>666</v>
      </c>
      <c r="S540" s="165" t="e">
        <f ca="1">__xlfn.XLOOKUP(H540,[1]Izvršenje_proračuna_po_pozicija!$B$2:$B$153,[1]Izvršenje_proračuna_po_pozicija!$E$2:$E$153,0)</f>
        <v>#NAME?</v>
      </c>
      <c r="T540" s="165"/>
      <c r="U540" s="165"/>
      <c r="V540" s="200">
        <v>3000</v>
      </c>
      <c r="W540" s="200">
        <v>3000</v>
      </c>
      <c r="X540" s="164">
        <v>15000</v>
      </c>
      <c r="Y540" s="378">
        <v>18000</v>
      </c>
      <c r="Z540" s="378"/>
      <c r="AA540" s="370" t="e">
        <f t="shared" ca="1" si="343"/>
        <v>#NAME?</v>
      </c>
      <c r="AB540" s="183"/>
      <c r="AC540" s="178">
        <v>20000</v>
      </c>
      <c r="AD540" s="178">
        <v>20000</v>
      </c>
      <c r="AE540" s="178"/>
      <c r="AF540" s="178"/>
      <c r="AG540" s="178"/>
      <c r="AH540" s="178"/>
      <c r="AI540" s="183"/>
      <c r="AJ540" s="378">
        <v>18000</v>
      </c>
      <c r="AK540" s="171">
        <f t="shared" si="373"/>
        <v>450.45045045045049</v>
      </c>
      <c r="AL540" s="171">
        <f t="shared" si="374"/>
        <v>500</v>
      </c>
      <c r="AM540" s="171">
        <f>Y540/X540*100</f>
        <v>120</v>
      </c>
      <c r="AN540" s="165"/>
      <c r="AO540" s="193"/>
      <c r="AP540" s="193" t="e">
        <f t="shared" ca="1" si="341"/>
        <v>#NAME?</v>
      </c>
      <c r="AQ540" s="200"/>
      <c r="AR540" s="204">
        <f>V540/R540*100</f>
        <v>450.45045045045049</v>
      </c>
      <c r="AS540" s="204">
        <f>W540/V540*100</f>
        <v>100</v>
      </c>
      <c r="AT540" s="204">
        <f>W540/R540*100</f>
        <v>450.45045045045049</v>
      </c>
      <c r="AU540" s="204">
        <f>AQ540/W540*100</f>
        <v>0</v>
      </c>
      <c r="AV540" s="204">
        <f>AQ540/R540*100</f>
        <v>0</v>
      </c>
    </row>
    <row r="541" spans="1:48" ht="12" customHeight="1">
      <c r="A541" s="53"/>
      <c r="B541" s="53"/>
      <c r="C541" s="53"/>
      <c r="D541" s="53"/>
      <c r="E541" s="53"/>
      <c r="F541" s="53"/>
      <c r="G541" s="53"/>
      <c r="H541" s="1">
        <v>78</v>
      </c>
      <c r="I541" s="345">
        <v>451</v>
      </c>
      <c r="J541" s="229">
        <v>3224</v>
      </c>
      <c r="K541" s="18" t="s">
        <v>480</v>
      </c>
      <c r="L541" s="130">
        <v>0</v>
      </c>
      <c r="M541" s="130">
        <v>0</v>
      </c>
      <c r="N541" s="131">
        <v>0</v>
      </c>
      <c r="O541" s="131">
        <v>0</v>
      </c>
      <c r="P541" s="132">
        <v>0</v>
      </c>
      <c r="Q541" s="132">
        <v>0</v>
      </c>
      <c r="R541" s="159">
        <v>0</v>
      </c>
      <c r="S541" s="165" t="e">
        <f ca="1">__xlfn.XLOOKUP(H541,[1]Izvršenje_proračuna_po_pozicija!$B$2:$B$153,[1]Izvršenje_proračuna_po_pozicija!$E$2:$E$153,0)</f>
        <v>#NAME?</v>
      </c>
      <c r="T541" s="165"/>
      <c r="U541" s="165"/>
      <c r="V541" s="200"/>
      <c r="W541" s="200"/>
      <c r="X541" s="164"/>
      <c r="Y541" s="378"/>
      <c r="Z541" s="378"/>
      <c r="AA541" s="370" t="e">
        <f t="shared" ca="1" si="343"/>
        <v>#NAME?</v>
      </c>
      <c r="AB541" s="183"/>
      <c r="AC541" s="178">
        <v>0</v>
      </c>
      <c r="AD541" s="178">
        <v>0</v>
      </c>
      <c r="AE541" s="178"/>
      <c r="AF541" s="178"/>
      <c r="AG541" s="178"/>
      <c r="AH541" s="178"/>
      <c r="AI541" s="183"/>
      <c r="AJ541" s="378"/>
      <c r="AK541" s="171"/>
      <c r="AL541" s="171"/>
      <c r="AM541" s="171"/>
      <c r="AN541" s="165"/>
      <c r="AO541" s="193"/>
      <c r="AP541" s="193" t="e">
        <f t="shared" ca="1" si="341"/>
        <v>#NAME?</v>
      </c>
      <c r="AQ541" s="200"/>
      <c r="AR541" s="204"/>
      <c r="AS541" s="204"/>
      <c r="AT541" s="204"/>
      <c r="AU541" s="204"/>
      <c r="AV541" s="204"/>
    </row>
    <row r="542" spans="1:48" ht="12" customHeight="1">
      <c r="A542" s="53"/>
      <c r="B542" s="53"/>
      <c r="C542" s="53"/>
      <c r="D542" s="53"/>
      <c r="E542" s="53"/>
      <c r="F542" s="53"/>
      <c r="G542" s="53"/>
      <c r="H542" s="1">
        <v>79</v>
      </c>
      <c r="I542" s="345">
        <v>451</v>
      </c>
      <c r="J542" s="229">
        <v>3224</v>
      </c>
      <c r="K542" s="18" t="s">
        <v>481</v>
      </c>
      <c r="L542" s="130">
        <v>0</v>
      </c>
      <c r="M542" s="130">
        <v>0</v>
      </c>
      <c r="N542" s="131">
        <v>0</v>
      </c>
      <c r="O542" s="131">
        <v>0</v>
      </c>
      <c r="P542" s="132">
        <v>0</v>
      </c>
      <c r="Q542" s="132">
        <v>0</v>
      </c>
      <c r="R542" s="159">
        <v>0</v>
      </c>
      <c r="S542" s="165" t="e">
        <f ca="1">__xlfn.XLOOKUP(H542,[1]Izvršenje_proračuna_po_pozicija!$B$2:$B$153,[1]Izvršenje_proračuna_po_pozicija!$E$2:$E$153,0)</f>
        <v>#NAME?</v>
      </c>
      <c r="T542" s="165"/>
      <c r="U542" s="165"/>
      <c r="V542" s="200"/>
      <c r="W542" s="200"/>
      <c r="X542" s="164"/>
      <c r="Y542" s="378"/>
      <c r="Z542" s="378"/>
      <c r="AA542" s="370" t="e">
        <f t="shared" ca="1" si="343"/>
        <v>#NAME?</v>
      </c>
      <c r="AB542" s="183"/>
      <c r="AC542" s="178">
        <v>0</v>
      </c>
      <c r="AD542" s="178">
        <v>0</v>
      </c>
      <c r="AE542" s="178"/>
      <c r="AF542" s="178"/>
      <c r="AG542" s="178"/>
      <c r="AH542" s="178"/>
      <c r="AI542" s="183"/>
      <c r="AJ542" s="378"/>
      <c r="AK542" s="171"/>
      <c r="AL542" s="171"/>
      <c r="AM542" s="171"/>
      <c r="AN542" s="165"/>
      <c r="AO542" s="193"/>
      <c r="AP542" s="193" t="e">
        <f t="shared" ca="1" si="341"/>
        <v>#NAME?</v>
      </c>
      <c r="AQ542" s="200"/>
      <c r="AR542" s="204"/>
      <c r="AS542" s="204"/>
      <c r="AT542" s="204"/>
      <c r="AU542" s="204"/>
      <c r="AV542" s="204"/>
    </row>
    <row r="543" spans="1:48" ht="12" customHeight="1">
      <c r="A543" s="53"/>
      <c r="B543" s="53"/>
      <c r="C543" s="53"/>
      <c r="D543" s="53"/>
      <c r="E543" s="53"/>
      <c r="F543" s="53"/>
      <c r="G543" s="53"/>
      <c r="H543" s="1">
        <v>80</v>
      </c>
      <c r="I543" s="345">
        <v>451</v>
      </c>
      <c r="J543" s="229">
        <v>3224</v>
      </c>
      <c r="K543" s="18" t="s">
        <v>482</v>
      </c>
      <c r="L543" s="130">
        <v>0</v>
      </c>
      <c r="M543" s="130">
        <v>0</v>
      </c>
      <c r="N543" s="131">
        <v>0</v>
      </c>
      <c r="O543" s="131">
        <v>0</v>
      </c>
      <c r="P543" s="132">
        <v>0</v>
      </c>
      <c r="Q543" s="132">
        <v>0</v>
      </c>
      <c r="R543" s="159">
        <v>0</v>
      </c>
      <c r="S543" s="165" t="e">
        <f ca="1">__xlfn.XLOOKUP(H543,[1]Izvršenje_proračuna_po_pozicija!$B$2:$B$153,[1]Izvršenje_proračuna_po_pozicija!$E$2:$E$153,0)</f>
        <v>#NAME?</v>
      </c>
      <c r="T543" s="165"/>
      <c r="U543" s="165"/>
      <c r="V543" s="200"/>
      <c r="W543" s="200"/>
      <c r="X543" s="164"/>
      <c r="Y543" s="378"/>
      <c r="Z543" s="378"/>
      <c r="AA543" s="370" t="e">
        <f t="shared" ca="1" si="343"/>
        <v>#NAME?</v>
      </c>
      <c r="AB543" s="183"/>
      <c r="AC543" s="178">
        <v>0</v>
      </c>
      <c r="AD543" s="178">
        <v>0</v>
      </c>
      <c r="AE543" s="178"/>
      <c r="AF543" s="178"/>
      <c r="AG543" s="178"/>
      <c r="AH543" s="178"/>
      <c r="AI543" s="183"/>
      <c r="AJ543" s="378"/>
      <c r="AK543" s="171"/>
      <c r="AL543" s="171"/>
      <c r="AM543" s="171"/>
      <c r="AN543" s="165"/>
      <c r="AO543" s="193"/>
      <c r="AP543" s="193" t="e">
        <f t="shared" ref="AP543:AP606" ca="1" si="379">__xlfn.ISFORMULA(X543)</f>
        <v>#NAME?</v>
      </c>
      <c r="AQ543" s="200"/>
      <c r="AR543" s="204"/>
      <c r="AS543" s="204"/>
      <c r="AT543" s="204"/>
      <c r="AU543" s="204"/>
      <c r="AV543" s="204"/>
    </row>
    <row r="544" spans="1:48" ht="12" customHeight="1">
      <c r="A544" s="53"/>
      <c r="B544" s="53"/>
      <c r="C544" s="53"/>
      <c r="D544" s="53"/>
      <c r="E544" s="53"/>
      <c r="F544" s="53"/>
      <c r="G544" s="53"/>
      <c r="H544" s="1">
        <v>81</v>
      </c>
      <c r="I544" s="345">
        <v>451</v>
      </c>
      <c r="J544" s="229">
        <v>3224</v>
      </c>
      <c r="K544" s="18" t="s">
        <v>483</v>
      </c>
      <c r="L544" s="130">
        <v>0</v>
      </c>
      <c r="M544" s="130">
        <v>0</v>
      </c>
      <c r="N544" s="131">
        <v>0</v>
      </c>
      <c r="O544" s="131">
        <v>0</v>
      </c>
      <c r="P544" s="132">
        <v>0</v>
      </c>
      <c r="Q544" s="132">
        <v>0</v>
      </c>
      <c r="R544" s="159">
        <v>0</v>
      </c>
      <c r="S544" s="165" t="e">
        <f ca="1">__xlfn.XLOOKUP(H544,[1]Izvršenje_proračuna_po_pozicija!$B$2:$B$153,[1]Izvršenje_proračuna_po_pozicija!$E$2:$E$153,0)</f>
        <v>#NAME?</v>
      </c>
      <c r="T544" s="165"/>
      <c r="U544" s="165"/>
      <c r="V544" s="200"/>
      <c r="W544" s="200"/>
      <c r="X544" s="164"/>
      <c r="Y544" s="378"/>
      <c r="Z544" s="378"/>
      <c r="AA544" s="370" t="e">
        <f t="shared" ca="1" si="343"/>
        <v>#NAME?</v>
      </c>
      <c r="AB544" s="183"/>
      <c r="AC544" s="178">
        <v>0</v>
      </c>
      <c r="AD544" s="178">
        <v>0</v>
      </c>
      <c r="AE544" s="178"/>
      <c r="AF544" s="178"/>
      <c r="AG544" s="178"/>
      <c r="AH544" s="178"/>
      <c r="AI544" s="183"/>
      <c r="AJ544" s="378"/>
      <c r="AK544" s="171"/>
      <c r="AL544" s="171"/>
      <c r="AM544" s="171"/>
      <c r="AN544" s="165"/>
      <c r="AO544" s="193"/>
      <c r="AP544" s="193" t="e">
        <f t="shared" ca="1" si="379"/>
        <v>#NAME?</v>
      </c>
      <c r="AQ544" s="200"/>
      <c r="AR544" s="204"/>
      <c r="AS544" s="204"/>
      <c r="AT544" s="204"/>
      <c r="AU544" s="204"/>
      <c r="AV544" s="204"/>
    </row>
    <row r="545" spans="1:48" ht="12" customHeight="1">
      <c r="A545" s="53"/>
      <c r="B545" s="53"/>
      <c r="C545" s="53"/>
      <c r="D545" s="53"/>
      <c r="E545" s="53"/>
      <c r="F545" s="53"/>
      <c r="G545" s="53"/>
      <c r="H545" s="1">
        <v>82</v>
      </c>
      <c r="I545" s="345">
        <v>451</v>
      </c>
      <c r="J545" s="229">
        <v>3224</v>
      </c>
      <c r="K545" s="18" t="s">
        <v>484</v>
      </c>
      <c r="L545" s="130">
        <v>0</v>
      </c>
      <c r="M545" s="130">
        <v>0</v>
      </c>
      <c r="N545" s="131">
        <v>0</v>
      </c>
      <c r="O545" s="131">
        <v>0</v>
      </c>
      <c r="P545" s="132">
        <v>0</v>
      </c>
      <c r="Q545" s="132">
        <v>0</v>
      </c>
      <c r="R545" s="159">
        <v>0</v>
      </c>
      <c r="S545" s="165" t="e">
        <f ca="1">__xlfn.XLOOKUP(H545,[1]Izvršenje_proračuna_po_pozicija!$B$2:$B$153,[1]Izvršenje_proračuna_po_pozicija!$E$2:$E$153,0)</f>
        <v>#NAME?</v>
      </c>
      <c r="T545" s="165"/>
      <c r="U545" s="165"/>
      <c r="V545" s="200"/>
      <c r="W545" s="200"/>
      <c r="X545" s="164"/>
      <c r="Y545" s="378"/>
      <c r="Z545" s="378"/>
      <c r="AA545" s="370" t="e">
        <f t="shared" ref="AA545:AA608" ca="1" si="380">__xlfn.ISFORMULA(R545)</f>
        <v>#NAME?</v>
      </c>
      <c r="AB545" s="183"/>
      <c r="AC545" s="178">
        <v>0</v>
      </c>
      <c r="AD545" s="178">
        <v>0</v>
      </c>
      <c r="AE545" s="178"/>
      <c r="AF545" s="178"/>
      <c r="AG545" s="178"/>
      <c r="AH545" s="178"/>
      <c r="AI545" s="183"/>
      <c r="AJ545" s="378"/>
      <c r="AK545" s="171"/>
      <c r="AL545" s="171"/>
      <c r="AM545" s="171"/>
      <c r="AN545" s="165"/>
      <c r="AO545" s="193"/>
      <c r="AP545" s="193" t="e">
        <f t="shared" ca="1" si="379"/>
        <v>#NAME?</v>
      </c>
      <c r="AQ545" s="200"/>
      <c r="AR545" s="204"/>
      <c r="AS545" s="204"/>
      <c r="AT545" s="204"/>
      <c r="AU545" s="204"/>
      <c r="AV545" s="204"/>
    </row>
    <row r="546" spans="1:48" ht="12" customHeight="1">
      <c r="A546" s="53"/>
      <c r="B546" s="53"/>
      <c r="C546" s="53"/>
      <c r="D546" s="53"/>
      <c r="E546" s="53"/>
      <c r="F546" s="53"/>
      <c r="G546" s="53"/>
      <c r="H546" s="1">
        <v>83</v>
      </c>
      <c r="I546" s="345">
        <v>451</v>
      </c>
      <c r="J546" s="229">
        <v>3224</v>
      </c>
      <c r="K546" s="18" t="s">
        <v>485</v>
      </c>
      <c r="L546" s="130">
        <v>0</v>
      </c>
      <c r="M546" s="130">
        <v>0</v>
      </c>
      <c r="N546" s="131">
        <v>0</v>
      </c>
      <c r="O546" s="131">
        <v>0</v>
      </c>
      <c r="P546" s="132">
        <v>0</v>
      </c>
      <c r="Q546" s="132">
        <v>0</v>
      </c>
      <c r="R546" s="159">
        <v>0</v>
      </c>
      <c r="S546" s="165" t="e">
        <f ca="1">__xlfn.XLOOKUP(H546,[1]Izvršenje_proračuna_po_pozicija!$B$2:$B$153,[1]Izvršenje_proračuna_po_pozicija!$E$2:$E$153,0)</f>
        <v>#NAME?</v>
      </c>
      <c r="T546" s="165"/>
      <c r="U546" s="165"/>
      <c r="V546" s="200"/>
      <c r="W546" s="200"/>
      <c r="X546" s="164"/>
      <c r="Y546" s="378"/>
      <c r="Z546" s="378"/>
      <c r="AA546" s="370" t="e">
        <f t="shared" ca="1" si="380"/>
        <v>#NAME?</v>
      </c>
      <c r="AB546" s="183"/>
      <c r="AC546" s="178">
        <v>0</v>
      </c>
      <c r="AD546" s="178">
        <v>0</v>
      </c>
      <c r="AE546" s="178"/>
      <c r="AF546" s="178"/>
      <c r="AG546" s="178"/>
      <c r="AH546" s="178"/>
      <c r="AI546" s="183"/>
      <c r="AJ546" s="378"/>
      <c r="AK546" s="171"/>
      <c r="AL546" s="171"/>
      <c r="AM546" s="171"/>
      <c r="AN546" s="165"/>
      <c r="AO546" s="193"/>
      <c r="AP546" s="193" t="e">
        <f t="shared" ca="1" si="379"/>
        <v>#NAME?</v>
      </c>
      <c r="AQ546" s="200"/>
      <c r="AR546" s="204"/>
      <c r="AS546" s="204"/>
      <c r="AT546" s="204"/>
      <c r="AU546" s="204"/>
      <c r="AV546" s="204"/>
    </row>
    <row r="547" spans="1:48" ht="12" customHeight="1">
      <c r="A547" s="53"/>
      <c r="B547" s="53"/>
      <c r="C547" s="53"/>
      <c r="D547" s="53"/>
      <c r="E547" s="53"/>
      <c r="F547" s="53"/>
      <c r="G547" s="53"/>
      <c r="H547" s="1">
        <v>84</v>
      </c>
      <c r="I547" s="345">
        <v>451</v>
      </c>
      <c r="J547" s="229">
        <v>3224</v>
      </c>
      <c r="K547" s="18" t="s">
        <v>486</v>
      </c>
      <c r="L547" s="130">
        <v>0</v>
      </c>
      <c r="M547" s="130">
        <v>0</v>
      </c>
      <c r="N547" s="131">
        <v>0</v>
      </c>
      <c r="O547" s="131">
        <v>0</v>
      </c>
      <c r="P547" s="132">
        <v>0</v>
      </c>
      <c r="Q547" s="132">
        <v>0</v>
      </c>
      <c r="R547" s="159">
        <v>0</v>
      </c>
      <c r="S547" s="165" t="e">
        <f ca="1">__xlfn.XLOOKUP(H547,[1]Izvršenje_proračuna_po_pozicija!$B$2:$B$153,[1]Izvršenje_proračuna_po_pozicija!$E$2:$E$153,0)</f>
        <v>#NAME?</v>
      </c>
      <c r="T547" s="165"/>
      <c r="U547" s="165"/>
      <c r="V547" s="200"/>
      <c r="W547" s="200"/>
      <c r="X547" s="164"/>
      <c r="Y547" s="378"/>
      <c r="Z547" s="378"/>
      <c r="AA547" s="370" t="e">
        <f t="shared" ca="1" si="380"/>
        <v>#NAME?</v>
      </c>
      <c r="AB547" s="183"/>
      <c r="AC547" s="178">
        <v>0</v>
      </c>
      <c r="AD547" s="178">
        <v>0</v>
      </c>
      <c r="AE547" s="178"/>
      <c r="AF547" s="178"/>
      <c r="AG547" s="178"/>
      <c r="AH547" s="178"/>
      <c r="AI547" s="183"/>
      <c r="AJ547" s="378"/>
      <c r="AK547" s="171"/>
      <c r="AL547" s="171"/>
      <c r="AM547" s="171"/>
      <c r="AN547" s="165"/>
      <c r="AO547" s="193"/>
      <c r="AP547" s="193" t="e">
        <f t="shared" ca="1" si="379"/>
        <v>#NAME?</v>
      </c>
      <c r="AQ547" s="200"/>
      <c r="AR547" s="204"/>
      <c r="AS547" s="204"/>
      <c r="AT547" s="204"/>
      <c r="AU547" s="204"/>
      <c r="AV547" s="204"/>
    </row>
    <row r="548" spans="1:48" ht="12" customHeight="1">
      <c r="A548" s="53"/>
      <c r="B548" s="53"/>
      <c r="C548" s="53"/>
      <c r="D548" s="53"/>
      <c r="E548" s="53"/>
      <c r="F548" s="53"/>
      <c r="G548" s="53"/>
      <c r="H548" s="1">
        <v>85</v>
      </c>
      <c r="I548" s="345">
        <v>451</v>
      </c>
      <c r="J548" s="229">
        <v>3224</v>
      </c>
      <c r="K548" s="18" t="s">
        <v>487</v>
      </c>
      <c r="L548" s="130">
        <v>0</v>
      </c>
      <c r="M548" s="130">
        <v>0</v>
      </c>
      <c r="N548" s="131">
        <v>0</v>
      </c>
      <c r="O548" s="131">
        <v>0</v>
      </c>
      <c r="P548" s="132">
        <v>0</v>
      </c>
      <c r="Q548" s="132">
        <v>0</v>
      </c>
      <c r="R548" s="159">
        <v>0</v>
      </c>
      <c r="S548" s="165" t="e">
        <f ca="1">__xlfn.XLOOKUP(H548,[1]Izvršenje_proračuna_po_pozicija!$B$2:$B$153,[1]Izvršenje_proračuna_po_pozicija!$E$2:$E$153,0)</f>
        <v>#NAME?</v>
      </c>
      <c r="T548" s="165"/>
      <c r="U548" s="165"/>
      <c r="V548" s="200"/>
      <c r="W548" s="200"/>
      <c r="X548" s="164"/>
      <c r="Y548" s="378"/>
      <c r="Z548" s="378"/>
      <c r="AA548" s="370" t="e">
        <f t="shared" ca="1" si="380"/>
        <v>#NAME?</v>
      </c>
      <c r="AB548" s="183"/>
      <c r="AC548" s="178">
        <v>0</v>
      </c>
      <c r="AD548" s="178">
        <v>0</v>
      </c>
      <c r="AE548" s="178"/>
      <c r="AF548" s="178"/>
      <c r="AG548" s="178"/>
      <c r="AH548" s="178"/>
      <c r="AI548" s="183"/>
      <c r="AJ548" s="378"/>
      <c r="AK548" s="171"/>
      <c r="AL548" s="171"/>
      <c r="AM548" s="171"/>
      <c r="AN548" s="165"/>
      <c r="AO548" s="193"/>
      <c r="AP548" s="193" t="e">
        <f t="shared" ca="1" si="379"/>
        <v>#NAME?</v>
      </c>
      <c r="AQ548" s="200"/>
      <c r="AR548" s="204"/>
      <c r="AS548" s="204"/>
      <c r="AT548" s="204"/>
      <c r="AU548" s="204"/>
      <c r="AV548" s="204"/>
    </row>
    <row r="549" spans="1:48" ht="12" customHeight="1">
      <c r="A549" s="53"/>
      <c r="B549" s="53"/>
      <c r="C549" s="53"/>
      <c r="D549" s="53"/>
      <c r="E549" s="53"/>
      <c r="F549" s="53"/>
      <c r="G549" s="53"/>
      <c r="H549" s="1">
        <v>86</v>
      </c>
      <c r="I549" s="345">
        <v>451</v>
      </c>
      <c r="J549" s="229">
        <v>3224</v>
      </c>
      <c r="K549" s="18" t="s">
        <v>488</v>
      </c>
      <c r="L549" s="130">
        <v>0</v>
      </c>
      <c r="M549" s="130">
        <v>0</v>
      </c>
      <c r="N549" s="131">
        <v>0</v>
      </c>
      <c r="O549" s="131">
        <v>0</v>
      </c>
      <c r="P549" s="132">
        <v>0</v>
      </c>
      <c r="Q549" s="132">
        <v>0</v>
      </c>
      <c r="R549" s="159">
        <v>0</v>
      </c>
      <c r="S549" s="165" t="e">
        <f ca="1">__xlfn.XLOOKUP(H549,[1]Izvršenje_proračuna_po_pozicija!$B$2:$B$153,[1]Izvršenje_proračuna_po_pozicija!$E$2:$E$153,0)</f>
        <v>#NAME?</v>
      </c>
      <c r="T549" s="165"/>
      <c r="U549" s="165"/>
      <c r="V549" s="200"/>
      <c r="W549" s="200"/>
      <c r="X549" s="164"/>
      <c r="Y549" s="378"/>
      <c r="Z549" s="378"/>
      <c r="AA549" s="370" t="e">
        <f t="shared" ca="1" si="380"/>
        <v>#NAME?</v>
      </c>
      <c r="AB549" s="183"/>
      <c r="AC549" s="178">
        <v>0</v>
      </c>
      <c r="AD549" s="178">
        <v>0</v>
      </c>
      <c r="AE549" s="178"/>
      <c r="AF549" s="178"/>
      <c r="AG549" s="178"/>
      <c r="AH549" s="178"/>
      <c r="AI549" s="183"/>
      <c r="AJ549" s="378"/>
      <c r="AK549" s="171"/>
      <c r="AL549" s="171"/>
      <c r="AM549" s="171"/>
      <c r="AN549" s="165"/>
      <c r="AO549" s="193"/>
      <c r="AP549" s="193" t="e">
        <f t="shared" ca="1" si="379"/>
        <v>#NAME?</v>
      </c>
      <c r="AQ549" s="200"/>
      <c r="AR549" s="204"/>
      <c r="AS549" s="204"/>
      <c r="AT549" s="204"/>
      <c r="AU549" s="204"/>
      <c r="AV549" s="204"/>
    </row>
    <row r="550" spans="1:48" ht="12" customHeight="1">
      <c r="A550" s="53"/>
      <c r="B550" s="53"/>
      <c r="C550" s="53"/>
      <c r="D550" s="53"/>
      <c r="E550" s="53"/>
      <c r="F550" s="53"/>
      <c r="G550" s="53"/>
      <c r="H550" s="1">
        <v>87</v>
      </c>
      <c r="I550" s="345">
        <v>451</v>
      </c>
      <c r="J550" s="229">
        <v>3224</v>
      </c>
      <c r="K550" s="18" t="s">
        <v>489</v>
      </c>
      <c r="L550" s="130">
        <v>0</v>
      </c>
      <c r="M550" s="130">
        <v>0</v>
      </c>
      <c r="N550" s="131">
        <v>0</v>
      </c>
      <c r="O550" s="131">
        <v>0</v>
      </c>
      <c r="P550" s="132">
        <v>0</v>
      </c>
      <c r="Q550" s="132">
        <v>0</v>
      </c>
      <c r="R550" s="159">
        <v>1288</v>
      </c>
      <c r="S550" s="165" t="e">
        <f ca="1">__xlfn.XLOOKUP(H550,[1]Izvršenje_proračuna_po_pozicija!$B$2:$B$153,[1]Izvršenje_proračuna_po_pozicija!$E$2:$E$153,0)</f>
        <v>#NAME?</v>
      </c>
      <c r="T550" s="165"/>
      <c r="U550" s="165"/>
      <c r="V550" s="200"/>
      <c r="W550" s="200"/>
      <c r="X550" s="164"/>
      <c r="Y550" s="378"/>
      <c r="Z550" s="378"/>
      <c r="AA550" s="370" t="e">
        <f t="shared" ca="1" si="380"/>
        <v>#NAME?</v>
      </c>
      <c r="AB550" s="183"/>
      <c r="AC550" s="178">
        <v>0</v>
      </c>
      <c r="AD550" s="178">
        <v>0</v>
      </c>
      <c r="AE550" s="178"/>
      <c r="AF550" s="178"/>
      <c r="AG550" s="178"/>
      <c r="AH550" s="178"/>
      <c r="AI550" s="183"/>
      <c r="AJ550" s="378"/>
      <c r="AK550" s="171">
        <f t="shared" si="373"/>
        <v>0</v>
      </c>
      <c r="AL550" s="171"/>
      <c r="AM550" s="171"/>
      <c r="AN550" s="165"/>
      <c r="AO550" s="193"/>
      <c r="AP550" s="193" t="e">
        <f t="shared" ca="1" si="379"/>
        <v>#NAME?</v>
      </c>
      <c r="AQ550" s="200"/>
      <c r="AR550" s="204">
        <f>V550/R550*100</f>
        <v>0</v>
      </c>
      <c r="AS550" s="204"/>
      <c r="AT550" s="204">
        <f>W550/R550*100</f>
        <v>0</v>
      </c>
      <c r="AU550" s="204"/>
      <c r="AV550" s="204">
        <f>AQ550/R550*100</f>
        <v>0</v>
      </c>
    </row>
    <row r="551" spans="1:48" ht="12" customHeight="1">
      <c r="A551" s="42"/>
      <c r="B551" s="42"/>
      <c r="C551" s="42"/>
      <c r="D551" s="42"/>
      <c r="E551" s="42"/>
      <c r="F551" s="42"/>
      <c r="G551" s="42"/>
      <c r="H551" s="308"/>
      <c r="I551" s="14"/>
      <c r="J551" s="2"/>
      <c r="K551" s="84"/>
      <c r="L551" s="85">
        <v>1</v>
      </c>
      <c r="M551" s="85">
        <v>2</v>
      </c>
      <c r="N551" s="86">
        <v>3</v>
      </c>
      <c r="O551" s="86">
        <v>4</v>
      </c>
      <c r="P551" s="87">
        <v>5</v>
      </c>
      <c r="Q551" s="87">
        <v>6</v>
      </c>
      <c r="R551" s="160"/>
      <c r="S551" s="165" t="e">
        <f ca="1">__xlfn.XLOOKUP(H551,[1]Izvršenje_proračuna_po_pozicija!$B$2:$B$153,[1]Izvršenje_proračuna_po_pozicija!$E$2:$E$153,0)</f>
        <v>#NAME?</v>
      </c>
      <c r="T551" s="165"/>
      <c r="U551" s="165"/>
      <c r="V551" s="200"/>
      <c r="W551" s="200"/>
      <c r="X551" s="361"/>
      <c r="Y551" s="373"/>
      <c r="Z551" s="373"/>
      <c r="AA551" s="370" t="e">
        <f t="shared" ca="1" si="380"/>
        <v>#NAME?</v>
      </c>
      <c r="AB551" s="181"/>
      <c r="AC551" s="182">
        <v>7</v>
      </c>
      <c r="AD551" s="182">
        <v>8</v>
      </c>
      <c r="AE551" s="182">
        <v>9</v>
      </c>
      <c r="AF551" s="182">
        <v>10</v>
      </c>
      <c r="AG551" s="182">
        <v>11</v>
      </c>
      <c r="AH551" s="182">
        <v>12</v>
      </c>
      <c r="AI551" s="181"/>
      <c r="AJ551" s="373"/>
      <c r="AK551" s="171"/>
      <c r="AL551" s="171"/>
      <c r="AM551" s="171"/>
      <c r="AN551" s="161"/>
      <c r="AO551" s="193"/>
      <c r="AP551" s="193" t="e">
        <f t="shared" ca="1" si="379"/>
        <v>#NAME?</v>
      </c>
      <c r="AQ551" s="200"/>
      <c r="AR551" s="204"/>
      <c r="AS551" s="204"/>
      <c r="AT551" s="204"/>
      <c r="AU551" s="204"/>
      <c r="AV551" s="204"/>
    </row>
    <row r="552" spans="1:48" ht="12" customHeight="1">
      <c r="A552" s="62"/>
      <c r="B552" s="62"/>
      <c r="C552" s="62"/>
      <c r="D552" s="62"/>
      <c r="E552" s="62"/>
      <c r="F552" s="62"/>
      <c r="G552" s="62"/>
      <c r="H552" s="304"/>
      <c r="I552" s="346"/>
      <c r="J552" s="303">
        <v>323</v>
      </c>
      <c r="K552" s="19" t="s">
        <v>356</v>
      </c>
      <c r="L552" s="112">
        <f t="shared" ref="L552:S552" si="381">L553+L554+L555+L556+L558</f>
        <v>936314</v>
      </c>
      <c r="M552" s="112">
        <f t="shared" si="381"/>
        <v>124270.22363793217</v>
      </c>
      <c r="N552" s="113">
        <f t="shared" si="381"/>
        <v>763364</v>
      </c>
      <c r="O552" s="113">
        <f t="shared" si="381"/>
        <v>101315.8139226226</v>
      </c>
      <c r="P552" s="114">
        <f t="shared" si="381"/>
        <v>127000</v>
      </c>
      <c r="Q552" s="114">
        <f t="shared" si="381"/>
        <v>132000</v>
      </c>
      <c r="R552" s="88">
        <f t="shared" si="381"/>
        <v>122036</v>
      </c>
      <c r="S552" s="90" t="e">
        <f t="shared" ca="1" si="381"/>
        <v>#NAME?</v>
      </c>
      <c r="T552" s="90"/>
      <c r="U552" s="90"/>
      <c r="V552" s="200">
        <f>V553+V554+V555+V556+V558</f>
        <v>242000</v>
      </c>
      <c r="W552" s="200">
        <f>W553+W554+W555+W556+W558</f>
        <v>242000</v>
      </c>
      <c r="X552" s="88">
        <f>X553+X554+X555+X556+X558</f>
        <v>220000</v>
      </c>
      <c r="Y552" s="171">
        <f>Y553+Y554+Y555+Y556+Y558</f>
        <v>415000</v>
      </c>
      <c r="Z552" s="171">
        <f>Z553+Z554+Z555+Z556+Z558</f>
        <v>0</v>
      </c>
      <c r="AA552" s="370" t="e">
        <f t="shared" ca="1" si="380"/>
        <v>#NAME?</v>
      </c>
      <c r="AB552" s="171"/>
      <c r="AC552" s="172">
        <f>AC553+AC554+AC555+AC556+AC558</f>
        <v>135000</v>
      </c>
      <c r="AD552" s="172">
        <f>AD553+AD554+AD555+AD556+AD558</f>
        <v>135000</v>
      </c>
      <c r="AE552" s="178">
        <f>O552/M552*100</f>
        <v>81.528632488673679</v>
      </c>
      <c r="AF552" s="178">
        <f t="shared" ref="AF552:AG554" si="382">P552/O552*100</f>
        <v>125.35061910176535</v>
      </c>
      <c r="AG552" s="178">
        <f t="shared" si="382"/>
        <v>103.93700787401573</v>
      </c>
      <c r="AH552" s="178">
        <f>AC552/Q552*100</f>
        <v>102.27272727272727</v>
      </c>
      <c r="AI552" s="171"/>
      <c r="AJ552" s="171">
        <v>415000</v>
      </c>
      <c r="AK552" s="171">
        <f t="shared" si="373"/>
        <v>198.30214035202727</v>
      </c>
      <c r="AL552" s="171">
        <f t="shared" si="374"/>
        <v>90.909090909090907</v>
      </c>
      <c r="AM552" s="171">
        <f>Y552/X552*100</f>
        <v>188.63636363636365</v>
      </c>
      <c r="AN552" s="90"/>
      <c r="AO552" s="460"/>
      <c r="AP552" s="193" t="e">
        <f t="shared" ca="1" si="379"/>
        <v>#NAME?</v>
      </c>
      <c r="AQ552" s="200">
        <f>AQ553+AQ554+AQ555+AQ556+AQ558</f>
        <v>233687.61000000002</v>
      </c>
      <c r="AR552" s="204">
        <f>V552/R552*100</f>
        <v>198.30214035202727</v>
      </c>
      <c r="AS552" s="204">
        <f>W552/V552*100</f>
        <v>100</v>
      </c>
      <c r="AT552" s="204">
        <f>W552/R552*100</f>
        <v>198.30214035202727</v>
      </c>
      <c r="AU552" s="204">
        <f>AQ552/W552*100</f>
        <v>96.565128099173563</v>
      </c>
      <c r="AV552" s="204">
        <f>AQ552/R552*100</f>
        <v>191.49071585433808</v>
      </c>
    </row>
    <row r="553" spans="1:48" ht="12" customHeight="1">
      <c r="A553" s="53"/>
      <c r="B553" s="53"/>
      <c r="C553" s="53"/>
      <c r="D553" s="53"/>
      <c r="E553" s="53"/>
      <c r="F553" s="53"/>
      <c r="G553" s="53"/>
      <c r="H553" s="309">
        <v>94</v>
      </c>
      <c r="I553" s="351">
        <v>451</v>
      </c>
      <c r="J553" s="352">
        <v>3232</v>
      </c>
      <c r="K553" s="353" t="s">
        <v>490</v>
      </c>
      <c r="L553" s="354">
        <v>477180</v>
      </c>
      <c r="M553" s="354">
        <f>477180/7.5345</f>
        <v>63332.669719291254</v>
      </c>
      <c r="N553" s="355">
        <v>397528</v>
      </c>
      <c r="O553" s="355">
        <f>N553/7.5345</f>
        <v>52761.032583449465</v>
      </c>
      <c r="P553" s="356">
        <v>53000</v>
      </c>
      <c r="Q553" s="459">
        <v>63000</v>
      </c>
      <c r="R553" s="363">
        <v>63506</v>
      </c>
      <c r="S553" s="165">
        <v>130442</v>
      </c>
      <c r="T553" s="364"/>
      <c r="U553" s="364"/>
      <c r="V553" s="200">
        <v>140000</v>
      </c>
      <c r="W553" s="200">
        <v>140000</v>
      </c>
      <c r="X553" s="365">
        <v>110000</v>
      </c>
      <c r="Y553" s="382">
        <v>200000</v>
      </c>
      <c r="Z553" s="382"/>
      <c r="AA553" s="370" t="e">
        <f t="shared" ca="1" si="380"/>
        <v>#NAME?</v>
      </c>
      <c r="AB553" s="383"/>
      <c r="AC553" s="366">
        <v>55000</v>
      </c>
      <c r="AD553" s="366">
        <v>55000</v>
      </c>
      <c r="AE553" s="178">
        <f>O553/M553*100</f>
        <v>83.30776646129344</v>
      </c>
      <c r="AF553" s="178">
        <f t="shared" si="382"/>
        <v>100.45292407075728</v>
      </c>
      <c r="AG553" s="178">
        <f t="shared" si="382"/>
        <v>118.86792452830188</v>
      </c>
      <c r="AH553" s="178">
        <f>AC553/Q553*100</f>
        <v>87.301587301587304</v>
      </c>
      <c r="AI553" s="383"/>
      <c r="AJ553" s="382">
        <v>200000</v>
      </c>
      <c r="AK553" s="171">
        <f t="shared" si="373"/>
        <v>220.45161087141372</v>
      </c>
      <c r="AL553" s="171">
        <f t="shared" si="374"/>
        <v>78.571428571428569</v>
      </c>
      <c r="AM553" s="171">
        <f>Y553/X553*100</f>
        <v>181.81818181818181</v>
      </c>
      <c r="AN553" s="364"/>
      <c r="AO553" s="460"/>
      <c r="AP553" s="193" t="e">
        <f t="shared" ca="1" si="379"/>
        <v>#NAME?</v>
      </c>
      <c r="AQ553" s="200">
        <v>138370.54</v>
      </c>
      <c r="AR553" s="204">
        <f>V553/R553*100</f>
        <v>220.45161087141372</v>
      </c>
      <c r="AS553" s="204">
        <f>W553/V553*100</f>
        <v>100</v>
      </c>
      <c r="AT553" s="204">
        <f>W553/R553*100</f>
        <v>220.45161087141372</v>
      </c>
      <c r="AU553" s="204">
        <f>AQ553/W553*100</f>
        <v>98.836100000000002</v>
      </c>
      <c r="AV553" s="204">
        <f>AQ553/R553*100</f>
        <v>217.88577457248138</v>
      </c>
    </row>
    <row r="554" spans="1:48" ht="12" customHeight="1">
      <c r="A554" s="53"/>
      <c r="B554" s="53"/>
      <c r="C554" s="53"/>
      <c r="D554" s="53"/>
      <c r="E554" s="53"/>
      <c r="F554" s="53"/>
      <c r="G554" s="53"/>
      <c r="H554" s="1" t="s">
        <v>491</v>
      </c>
      <c r="I554" s="345">
        <v>451</v>
      </c>
      <c r="J554" s="229">
        <v>3232</v>
      </c>
      <c r="K554" s="18" t="s">
        <v>492</v>
      </c>
      <c r="L554" s="130">
        <v>369206</v>
      </c>
      <c r="M554" s="130">
        <f>369206/7.5345</f>
        <v>49002.057203530421</v>
      </c>
      <c r="N554" s="131">
        <v>278461</v>
      </c>
      <c r="O554" s="355">
        <f>N554/7.5345</f>
        <v>36958.125953945186</v>
      </c>
      <c r="P554" s="132">
        <v>46000</v>
      </c>
      <c r="Q554" s="132">
        <v>46000</v>
      </c>
      <c r="R554" s="159">
        <v>50949</v>
      </c>
      <c r="S554" s="165" t="e">
        <f ca="1">__xlfn.XLOOKUP(H554,[1]Izvršenje_proračuna_po_pozicija!$B$2:$B$153,[1]Izvršenje_proračuna_po_pozicija!$E$2:$E$153,0)</f>
        <v>#NAME?</v>
      </c>
      <c r="T554" s="165"/>
      <c r="U554" s="165"/>
      <c r="V554" s="200">
        <v>70000</v>
      </c>
      <c r="W554" s="200">
        <v>70000</v>
      </c>
      <c r="X554" s="164">
        <v>75000</v>
      </c>
      <c r="Y554" s="378">
        <v>150000</v>
      </c>
      <c r="Z554" s="378"/>
      <c r="AA554" s="370" t="e">
        <f t="shared" ca="1" si="380"/>
        <v>#NAME?</v>
      </c>
      <c r="AB554" s="183"/>
      <c r="AC554" s="178">
        <v>50000</v>
      </c>
      <c r="AD554" s="178">
        <v>50000</v>
      </c>
      <c r="AE554" s="178">
        <f>O554/M554*100</f>
        <v>75.421580364349452</v>
      </c>
      <c r="AF554" s="178">
        <f t="shared" si="382"/>
        <v>124.46518542991657</v>
      </c>
      <c r="AG554" s="178">
        <f t="shared" si="382"/>
        <v>100</v>
      </c>
      <c r="AH554" s="178">
        <f>AC554/Q554*100</f>
        <v>108.69565217391303</v>
      </c>
      <c r="AI554" s="183"/>
      <c r="AJ554" s="378">
        <v>150000</v>
      </c>
      <c r="AK554" s="171">
        <f t="shared" si="373"/>
        <v>137.39229425503936</v>
      </c>
      <c r="AL554" s="171">
        <f t="shared" si="374"/>
        <v>107.14285714285714</v>
      </c>
      <c r="AM554" s="171">
        <f>Y554/X554*100</f>
        <v>200</v>
      </c>
      <c r="AN554" s="165"/>
      <c r="AO554" s="460"/>
      <c r="AP554" s="193" t="e">
        <f t="shared" ca="1" si="379"/>
        <v>#NAME?</v>
      </c>
      <c r="AQ554" s="200">
        <v>69227.66</v>
      </c>
      <c r="AR554" s="204">
        <f>V554/R554*100</f>
        <v>137.39229425503936</v>
      </c>
      <c r="AS554" s="204">
        <f>W554/V554*100</f>
        <v>100</v>
      </c>
      <c r="AT554" s="204">
        <f>W554/R554*100</f>
        <v>137.39229425503936</v>
      </c>
      <c r="AU554" s="204">
        <f>AQ554/W554*100</f>
        <v>98.896657142857151</v>
      </c>
      <c r="AV554" s="204">
        <f>AQ554/R554*100</f>
        <v>135.87638619011167</v>
      </c>
    </row>
    <row r="555" spans="1:48" ht="12" customHeight="1">
      <c r="A555" s="53"/>
      <c r="B555" s="53"/>
      <c r="C555" s="53"/>
      <c r="D555" s="53"/>
      <c r="E555" s="53"/>
      <c r="F555" s="53"/>
      <c r="G555" s="53"/>
      <c r="H555" s="1" t="s">
        <v>493</v>
      </c>
      <c r="I555" s="345">
        <v>451</v>
      </c>
      <c r="J555" s="229">
        <v>3232</v>
      </c>
      <c r="K555" s="18" t="s">
        <v>494</v>
      </c>
      <c r="L555" s="130">
        <v>17500</v>
      </c>
      <c r="M555" s="130">
        <f>17500/7.5345</f>
        <v>2322.649147255956</v>
      </c>
      <c r="N555" s="131">
        <v>0</v>
      </c>
      <c r="O555" s="355">
        <f>N555/7.5345</f>
        <v>0</v>
      </c>
      <c r="P555" s="132">
        <v>13000</v>
      </c>
      <c r="Q555" s="132">
        <v>13000</v>
      </c>
      <c r="R555" s="159">
        <v>0</v>
      </c>
      <c r="S555" s="165" t="e">
        <f ca="1">__xlfn.XLOOKUP(H555,[1]Izvršenje_proračuna_po_pozicija!$B$2:$B$153,[1]Izvršenje_proračuna_po_pozicija!$E$2:$E$153,0)</f>
        <v>#NAME?</v>
      </c>
      <c r="T555" s="165"/>
      <c r="U555" s="165"/>
      <c r="V555" s="200">
        <v>16000</v>
      </c>
      <c r="W555" s="200">
        <v>16000</v>
      </c>
      <c r="X555" s="164">
        <v>15000</v>
      </c>
      <c r="Y555" s="378">
        <v>30000</v>
      </c>
      <c r="Z555" s="378"/>
      <c r="AA555" s="370" t="e">
        <f t="shared" ca="1" si="380"/>
        <v>#NAME?</v>
      </c>
      <c r="AB555" s="183"/>
      <c r="AC555" s="178">
        <v>15000</v>
      </c>
      <c r="AD555" s="178">
        <v>15000</v>
      </c>
      <c r="AE555" s="178">
        <f>O555/M555*100</f>
        <v>0</v>
      </c>
      <c r="AF555" s="178"/>
      <c r="AG555" s="178"/>
      <c r="AH555" s="178"/>
      <c r="AI555" s="183"/>
      <c r="AJ555" s="378">
        <v>30000</v>
      </c>
      <c r="AK555" s="171"/>
      <c r="AL555" s="171">
        <f t="shared" si="374"/>
        <v>93.75</v>
      </c>
      <c r="AM555" s="171">
        <f>Y555/X555*100</f>
        <v>200</v>
      </c>
      <c r="AN555" s="165"/>
      <c r="AO555" s="460"/>
      <c r="AP555" s="193" t="e">
        <f t="shared" ca="1" si="379"/>
        <v>#NAME?</v>
      </c>
      <c r="AQ555" s="200">
        <v>10738.29</v>
      </c>
      <c r="AR555" s="204"/>
      <c r="AS555" s="204">
        <f>W555/V555*100</f>
        <v>100</v>
      </c>
      <c r="AT555" s="204"/>
      <c r="AU555" s="204">
        <f>AQ555/W555*100</f>
        <v>67.114312500000011</v>
      </c>
      <c r="AV555" s="204"/>
    </row>
    <row r="556" spans="1:48" ht="12" customHeight="1">
      <c r="A556" s="53"/>
      <c r="B556" s="53"/>
      <c r="C556" s="53"/>
      <c r="D556" s="53"/>
      <c r="E556" s="53"/>
      <c r="F556" s="53"/>
      <c r="G556" s="53"/>
      <c r="H556" s="1" t="s">
        <v>495</v>
      </c>
      <c r="I556" s="345">
        <v>451</v>
      </c>
      <c r="J556" s="229">
        <v>3232</v>
      </c>
      <c r="K556" s="18" t="s">
        <v>496</v>
      </c>
      <c r="L556" s="130">
        <v>50428</v>
      </c>
      <c r="M556" s="130">
        <f>50428/7.5345</f>
        <v>6692.9457827327624</v>
      </c>
      <c r="N556" s="131">
        <v>0</v>
      </c>
      <c r="O556" s="355">
        <f>N556/7.5345</f>
        <v>0</v>
      </c>
      <c r="P556" s="132">
        <v>5000</v>
      </c>
      <c r="Q556" s="132">
        <v>5000</v>
      </c>
      <c r="R556" s="159">
        <v>4943</v>
      </c>
      <c r="S556" s="165" t="e">
        <f ca="1">__xlfn.XLOOKUP(H556,[1]Izvršenje_proračuna_po_pozicija!$B$2:$B$153,[1]Izvršenje_proračuna_po_pozicija!$E$2:$E$153,0)</f>
        <v>#NAME?</v>
      </c>
      <c r="T556" s="165"/>
      <c r="U556" s="165"/>
      <c r="V556" s="200">
        <v>15000</v>
      </c>
      <c r="W556" s="200">
        <v>15000</v>
      </c>
      <c r="X556" s="164">
        <v>15000</v>
      </c>
      <c r="Y556" s="378">
        <v>30000</v>
      </c>
      <c r="Z556" s="378"/>
      <c r="AA556" s="370" t="e">
        <f t="shared" ca="1" si="380"/>
        <v>#NAME?</v>
      </c>
      <c r="AB556" s="183"/>
      <c r="AC556" s="178">
        <v>5000</v>
      </c>
      <c r="AD556" s="178">
        <v>5000</v>
      </c>
      <c r="AE556" s="178">
        <f>O556/M556*100</f>
        <v>0</v>
      </c>
      <c r="AF556" s="178"/>
      <c r="AG556" s="178">
        <f>Q556/P556*100</f>
        <v>100</v>
      </c>
      <c r="AH556" s="178">
        <f>AC556/Q556*100</f>
        <v>100</v>
      </c>
      <c r="AI556" s="183"/>
      <c r="AJ556" s="378">
        <v>30000</v>
      </c>
      <c r="AK556" s="171">
        <f t="shared" si="373"/>
        <v>303.45943758850899</v>
      </c>
      <c r="AL556" s="171">
        <f t="shared" si="374"/>
        <v>100</v>
      </c>
      <c r="AM556" s="171">
        <f>Y556/X556*100</f>
        <v>200</v>
      </c>
      <c r="AN556" s="165"/>
      <c r="AO556" s="460"/>
      <c r="AP556" s="193" t="e">
        <f t="shared" ca="1" si="379"/>
        <v>#NAME?</v>
      </c>
      <c r="AQ556" s="200">
        <v>13976.12</v>
      </c>
      <c r="AR556" s="204">
        <f>V556/R556*100</f>
        <v>303.45943758850899</v>
      </c>
      <c r="AS556" s="204">
        <f>W556/V556*100</f>
        <v>100</v>
      </c>
      <c r="AT556" s="204">
        <f>W556/R556*100</f>
        <v>303.45943758850899</v>
      </c>
      <c r="AU556" s="204">
        <f>AQ556/W556*100</f>
        <v>93.174133333333344</v>
      </c>
      <c r="AV556" s="204">
        <f>AQ556/R556*100</f>
        <v>282.74570099130085</v>
      </c>
    </row>
    <row r="557" spans="1:48" ht="12" customHeight="1">
      <c r="A557" s="53"/>
      <c r="B557" s="53"/>
      <c r="C557" s="53"/>
      <c r="D557" s="53"/>
      <c r="E557" s="53"/>
      <c r="F557" s="53"/>
      <c r="G557" s="53"/>
      <c r="H557" s="1"/>
      <c r="I557" s="345"/>
      <c r="J557" s="229"/>
      <c r="K557" s="18"/>
      <c r="L557" s="130"/>
      <c r="M557" s="130"/>
      <c r="N557" s="131"/>
      <c r="O557" s="355"/>
      <c r="P557" s="132"/>
      <c r="Q557" s="132"/>
      <c r="R557" s="159"/>
      <c r="S557" s="165" t="e">
        <f ca="1">__xlfn.XLOOKUP(H557,[1]Izvršenje_proračuna_po_pozicija!$B$2:$B$153,[1]Izvršenje_proračuna_po_pozicija!$E$2:$E$153,0)</f>
        <v>#NAME?</v>
      </c>
      <c r="T557" s="165"/>
      <c r="U557" s="165"/>
      <c r="V557" s="200"/>
      <c r="W557" s="200"/>
      <c r="X557" s="164"/>
      <c r="Y557" s="378"/>
      <c r="Z557" s="378"/>
      <c r="AA557" s="370" t="e">
        <f t="shared" ca="1" si="380"/>
        <v>#NAME?</v>
      </c>
      <c r="AB557" s="183"/>
      <c r="AC557" s="178"/>
      <c r="AD557" s="178"/>
      <c r="AE557" s="178"/>
      <c r="AF557" s="178"/>
      <c r="AG557" s="178"/>
      <c r="AH557" s="178"/>
      <c r="AI557" s="183"/>
      <c r="AJ557" s="378"/>
      <c r="AK557" s="171"/>
      <c r="AL557" s="171"/>
      <c r="AM557" s="171"/>
      <c r="AN557" s="165"/>
      <c r="AO557" s="193"/>
      <c r="AP557" s="193" t="e">
        <f t="shared" ca="1" si="379"/>
        <v>#NAME?</v>
      </c>
      <c r="AQ557" s="200"/>
      <c r="AR557" s="204"/>
      <c r="AS557" s="204"/>
      <c r="AT557" s="204"/>
      <c r="AU557" s="204"/>
      <c r="AV557" s="204"/>
    </row>
    <row r="558" spans="1:48" ht="12" customHeight="1">
      <c r="A558" s="53"/>
      <c r="B558" s="53"/>
      <c r="C558" s="53"/>
      <c r="D558" s="53"/>
      <c r="E558" s="53"/>
      <c r="F558" s="53"/>
      <c r="G558" s="53"/>
      <c r="H558" s="1" t="s">
        <v>497</v>
      </c>
      <c r="I558" s="345">
        <v>451</v>
      </c>
      <c r="J558" s="229">
        <v>3237</v>
      </c>
      <c r="K558" s="18" t="s">
        <v>498</v>
      </c>
      <c r="L558" s="130">
        <v>22000</v>
      </c>
      <c r="M558" s="130">
        <f>22000/7.5345</f>
        <v>2919.9017851217732</v>
      </c>
      <c r="N558" s="131">
        <v>87375</v>
      </c>
      <c r="O558" s="355">
        <f>N558/7.5345</f>
        <v>11596.65538522795</v>
      </c>
      <c r="P558" s="132">
        <v>10000</v>
      </c>
      <c r="Q558" s="163">
        <v>5000</v>
      </c>
      <c r="R558" s="159">
        <v>2638</v>
      </c>
      <c r="S558" s="165" t="e">
        <f ca="1">__xlfn.XLOOKUP(H558,[1]Izvršenje_proračuna_po_pozicija!$B$2:$B$153,[1]Izvršenje_proračuna_po_pozicija!$E$2:$E$153,0)</f>
        <v>#NAME?</v>
      </c>
      <c r="T558" s="165"/>
      <c r="U558" s="165"/>
      <c r="V558" s="200">
        <v>1000</v>
      </c>
      <c r="W558" s="200">
        <v>1000</v>
      </c>
      <c r="X558" s="164">
        <v>5000</v>
      </c>
      <c r="Y558" s="378">
        <v>5000</v>
      </c>
      <c r="Z558" s="378"/>
      <c r="AA558" s="370" t="e">
        <f t="shared" ca="1" si="380"/>
        <v>#NAME?</v>
      </c>
      <c r="AB558" s="183"/>
      <c r="AC558" s="178">
        <v>10000</v>
      </c>
      <c r="AD558" s="178">
        <v>10000</v>
      </c>
      <c r="AE558" s="178">
        <f>O558/M558*100</f>
        <v>397.15909090909088</v>
      </c>
      <c r="AF558" s="178">
        <f>P558/O558*100</f>
        <v>86.231759656652372</v>
      </c>
      <c r="AG558" s="178">
        <f>Q558/P558*100</f>
        <v>50</v>
      </c>
      <c r="AH558" s="178">
        <f>AC558/Q558*100</f>
        <v>200</v>
      </c>
      <c r="AI558" s="183"/>
      <c r="AJ558" s="378">
        <v>5000</v>
      </c>
      <c r="AK558" s="171">
        <f t="shared" si="373"/>
        <v>37.907505686125852</v>
      </c>
      <c r="AL558" s="171">
        <f t="shared" si="374"/>
        <v>500</v>
      </c>
      <c r="AM558" s="171">
        <f>Y558/X558*100</f>
        <v>100</v>
      </c>
      <c r="AN558" s="165"/>
      <c r="AO558" s="193"/>
      <c r="AP558" s="193" t="e">
        <f t="shared" ca="1" si="379"/>
        <v>#NAME?</v>
      </c>
      <c r="AQ558" s="200">
        <v>1375</v>
      </c>
      <c r="AR558" s="204">
        <f>V558/R558*100</f>
        <v>37.907505686125852</v>
      </c>
      <c r="AS558" s="204">
        <f>W558/V558*100</f>
        <v>100</v>
      </c>
      <c r="AT558" s="204">
        <f>W558/R558*100</f>
        <v>37.907505686125852</v>
      </c>
      <c r="AU558" s="204">
        <f>AQ558/W558*100</f>
        <v>137.5</v>
      </c>
      <c r="AV558" s="204">
        <f>AQ558/R558*100</f>
        <v>52.122820318423045</v>
      </c>
    </row>
    <row r="559" spans="1:48" ht="12" customHeight="1">
      <c r="A559" s="69"/>
      <c r="B559" s="69"/>
      <c r="C559" s="69"/>
      <c r="D559" s="69"/>
      <c r="E559" s="69"/>
      <c r="F559" s="69"/>
      <c r="G559" s="69"/>
      <c r="H559" s="436"/>
      <c r="I559" s="3"/>
      <c r="J559" s="7"/>
      <c r="K559" s="7"/>
      <c r="L559" s="85"/>
      <c r="M559" s="85"/>
      <c r="N559" s="86"/>
      <c r="O559" s="86"/>
      <c r="P559" s="87"/>
      <c r="Q559" s="87"/>
      <c r="R559" s="160"/>
      <c r="S559" s="165" t="e">
        <f ca="1">__xlfn.XLOOKUP(H559,[1]Izvršenje_proračuna_po_pozicija!$B$2:$B$153,[1]Izvršenje_proračuna_po_pozicija!$E$2:$E$153,0)</f>
        <v>#NAME?</v>
      </c>
      <c r="T559" s="165"/>
      <c r="U559" s="165"/>
      <c r="V559" s="200"/>
      <c r="W559" s="200"/>
      <c r="X559" s="361"/>
      <c r="Y559" s="373"/>
      <c r="Z559" s="373"/>
      <c r="AA559" s="370" t="e">
        <f t="shared" ca="1" si="380"/>
        <v>#NAME?</v>
      </c>
      <c r="AB559" s="181"/>
      <c r="AC559" s="182"/>
      <c r="AD559" s="182"/>
      <c r="AE559" s="178"/>
      <c r="AF559" s="178"/>
      <c r="AG559" s="178"/>
      <c r="AH559" s="178"/>
      <c r="AI559" s="181"/>
      <c r="AJ559" s="373"/>
      <c r="AK559" s="171"/>
      <c r="AL559" s="171"/>
      <c r="AM559" s="171"/>
      <c r="AN559" s="161"/>
      <c r="AO559" s="193"/>
      <c r="AP559" s="193" t="e">
        <f t="shared" ca="1" si="379"/>
        <v>#NAME?</v>
      </c>
      <c r="AQ559" s="200"/>
      <c r="AR559" s="204"/>
      <c r="AS559" s="204"/>
      <c r="AT559" s="204"/>
      <c r="AU559" s="204"/>
      <c r="AV559" s="204"/>
    </row>
    <row r="560" spans="1:48" ht="12" customHeight="1">
      <c r="A560" s="390" t="s">
        <v>366</v>
      </c>
      <c r="B560" s="391"/>
      <c r="C560" s="391"/>
      <c r="D560" s="391"/>
      <c r="E560" s="391"/>
      <c r="F560" s="391"/>
      <c r="G560" s="391"/>
      <c r="H560" s="392"/>
      <c r="I560" s="453" t="s">
        <v>499</v>
      </c>
      <c r="J560" s="454"/>
      <c r="K560" s="124"/>
      <c r="L560" s="112">
        <f t="shared" ref="L560:S560" si="383">L564</f>
        <v>291120</v>
      </c>
      <c r="M560" s="112">
        <f t="shared" si="383"/>
        <v>38638.263985665937</v>
      </c>
      <c r="N560" s="113">
        <f t="shared" si="383"/>
        <v>97550</v>
      </c>
      <c r="O560" s="113">
        <f t="shared" si="383"/>
        <v>12947.10996084677</v>
      </c>
      <c r="P560" s="114">
        <f t="shared" si="383"/>
        <v>23000</v>
      </c>
      <c r="Q560" s="114">
        <f t="shared" si="383"/>
        <v>16000</v>
      </c>
      <c r="R560" s="88">
        <f t="shared" si="383"/>
        <v>15656</v>
      </c>
      <c r="S560" s="90" t="e">
        <f t="shared" ca="1" si="383"/>
        <v>#NAME?</v>
      </c>
      <c r="T560" s="90"/>
      <c r="U560" s="90"/>
      <c r="V560" s="200">
        <f>V564</f>
        <v>40000</v>
      </c>
      <c r="W560" s="200">
        <f>W564</f>
        <v>40000</v>
      </c>
      <c r="X560" s="88">
        <f>X564</f>
        <v>40000</v>
      </c>
      <c r="Y560" s="171">
        <f>Y564</f>
        <v>60000</v>
      </c>
      <c r="Z560" s="171">
        <f>Z564</f>
        <v>0</v>
      </c>
      <c r="AA560" s="370" t="e">
        <f t="shared" ca="1" si="380"/>
        <v>#NAME?</v>
      </c>
      <c r="AB560" s="171"/>
      <c r="AC560" s="172">
        <f>AC564</f>
        <v>23000</v>
      </c>
      <c r="AD560" s="172">
        <f>AD564</f>
        <v>23000</v>
      </c>
      <c r="AE560" s="178">
        <f>O560/M560*100</f>
        <v>33.508518823852704</v>
      </c>
      <c r="AF560" s="178">
        <f>P560/O560*100</f>
        <v>177.6458226550487</v>
      </c>
      <c r="AG560" s="178">
        <f>Q560/P560*100</f>
        <v>69.565217391304344</v>
      </c>
      <c r="AH560" s="178">
        <f>AC560/Q560*100</f>
        <v>143.75</v>
      </c>
      <c r="AI560" s="171"/>
      <c r="AJ560" s="171">
        <v>60000</v>
      </c>
      <c r="AK560" s="171">
        <f t="shared" si="373"/>
        <v>255.49310168625445</v>
      </c>
      <c r="AL560" s="171">
        <f t="shared" si="374"/>
        <v>100</v>
      </c>
      <c r="AM560" s="171">
        <f>Y560/X560*100</f>
        <v>150</v>
      </c>
      <c r="AN560" s="90"/>
      <c r="AO560" s="193"/>
      <c r="AP560" s="193" t="e">
        <f t="shared" ca="1" si="379"/>
        <v>#NAME?</v>
      </c>
      <c r="AQ560" s="200">
        <f>AQ564</f>
        <v>38787</v>
      </c>
      <c r="AR560" s="204">
        <f>V560/R560*100</f>
        <v>255.49310168625445</v>
      </c>
      <c r="AS560" s="204">
        <f>W560/V560*100</f>
        <v>100</v>
      </c>
      <c r="AT560" s="204">
        <f>W560/R560*100</f>
        <v>255.49310168625445</v>
      </c>
      <c r="AU560" s="204">
        <f>AQ560/W560*100</f>
        <v>96.967500000000001</v>
      </c>
      <c r="AV560" s="204">
        <f>AQ560/R560*100</f>
        <v>247.74527337761882</v>
      </c>
    </row>
    <row r="561" spans="1:48" ht="12" customHeight="1">
      <c r="A561" s="69"/>
      <c r="B561" s="69"/>
      <c r="C561" s="69"/>
      <c r="D561" s="69"/>
      <c r="E561" s="69"/>
      <c r="F561" s="69"/>
      <c r="G561" s="69"/>
      <c r="H561" s="436"/>
      <c r="I561" s="341"/>
      <c r="J561" s="281"/>
      <c r="K561" s="70"/>
      <c r="L561" s="217"/>
      <c r="M561" s="217"/>
      <c r="N561" s="218"/>
      <c r="O561" s="218"/>
      <c r="P561" s="219"/>
      <c r="Q561" s="219"/>
      <c r="R561" s="282"/>
      <c r="S561" s="165" t="e">
        <f ca="1">__xlfn.XLOOKUP(H561,[1]Izvršenje_proračuna_po_pozicija!$B$2:$B$153,[1]Izvršenje_proračuna_po_pozicija!$E$2:$E$153,0)</f>
        <v>#NAME?</v>
      </c>
      <c r="T561" s="165"/>
      <c r="U561" s="165"/>
      <c r="V561" s="200"/>
      <c r="W561" s="200"/>
      <c r="X561" s="167"/>
      <c r="Y561" s="424"/>
      <c r="Z561" s="424"/>
      <c r="AA561" s="370" t="e">
        <f t="shared" ca="1" si="380"/>
        <v>#NAME?</v>
      </c>
      <c r="AB561" s="223"/>
      <c r="AC561" s="224"/>
      <c r="AD561" s="224"/>
      <c r="AE561" s="178"/>
      <c r="AF561" s="178"/>
      <c r="AG561" s="178"/>
      <c r="AH561" s="178"/>
      <c r="AI561" s="223"/>
      <c r="AJ561" s="424"/>
      <c r="AK561" s="171"/>
      <c r="AL561" s="171"/>
      <c r="AM561" s="171"/>
      <c r="AN561" s="222"/>
      <c r="AO561" s="193"/>
      <c r="AP561" s="193" t="e">
        <f t="shared" ca="1" si="379"/>
        <v>#NAME?</v>
      </c>
      <c r="AQ561" s="200"/>
      <c r="AR561" s="204"/>
      <c r="AS561" s="204"/>
      <c r="AT561" s="204"/>
      <c r="AU561" s="204"/>
      <c r="AV561" s="204"/>
    </row>
    <row r="562" spans="1:48" ht="12" customHeight="1">
      <c r="A562" s="24"/>
      <c r="B562" s="24"/>
      <c r="C562" s="24"/>
      <c r="D562" s="24"/>
      <c r="E562" s="24"/>
      <c r="F562" s="24"/>
      <c r="G562" s="24"/>
      <c r="H562" s="393"/>
      <c r="I562" s="404"/>
      <c r="J562" s="281">
        <v>3</v>
      </c>
      <c r="K562" s="2" t="s">
        <v>224</v>
      </c>
      <c r="L562" s="112">
        <f t="shared" ref="L562:S563" si="384">L563</f>
        <v>291120</v>
      </c>
      <c r="M562" s="112">
        <f t="shared" si="384"/>
        <v>38638.263985665937</v>
      </c>
      <c r="N562" s="113">
        <f t="shared" si="384"/>
        <v>97550</v>
      </c>
      <c r="O562" s="113">
        <f t="shared" si="384"/>
        <v>12947.10996084677</v>
      </c>
      <c r="P562" s="114">
        <f t="shared" si="384"/>
        <v>23000</v>
      </c>
      <c r="Q562" s="114">
        <f t="shared" si="384"/>
        <v>16000</v>
      </c>
      <c r="R562" s="88">
        <f t="shared" si="384"/>
        <v>15656</v>
      </c>
      <c r="S562" s="90" t="e">
        <f t="shared" ca="1" si="384"/>
        <v>#NAME?</v>
      </c>
      <c r="T562" s="90"/>
      <c r="U562" s="90"/>
      <c r="V562" s="200">
        <f>V563</f>
        <v>40000</v>
      </c>
      <c r="W562" s="200">
        <f t="shared" ref="W562:Z563" si="385">W563</f>
        <v>40000</v>
      </c>
      <c r="X562" s="88">
        <f t="shared" si="385"/>
        <v>40000</v>
      </c>
      <c r="Y562" s="171">
        <f t="shared" si="385"/>
        <v>60000</v>
      </c>
      <c r="Z562" s="171">
        <f t="shared" si="385"/>
        <v>0</v>
      </c>
      <c r="AA562" s="370" t="e">
        <f t="shared" ca="1" si="380"/>
        <v>#NAME?</v>
      </c>
      <c r="AB562" s="171"/>
      <c r="AC562" s="172">
        <f>AC563</f>
        <v>23000</v>
      </c>
      <c r="AD562" s="172">
        <f>AD563</f>
        <v>23000</v>
      </c>
      <c r="AE562" s="178">
        <f>O562/M562*100</f>
        <v>33.508518823852704</v>
      </c>
      <c r="AF562" s="178">
        <f t="shared" ref="AF562:AG565" si="386">P562/O562*100</f>
        <v>177.6458226550487</v>
      </c>
      <c r="AG562" s="178">
        <f t="shared" si="386"/>
        <v>69.565217391304344</v>
      </c>
      <c r="AH562" s="178">
        <f>AC562/Q562*100</f>
        <v>143.75</v>
      </c>
      <c r="AI562" s="171"/>
      <c r="AJ562" s="171">
        <v>60000</v>
      </c>
      <c r="AK562" s="171">
        <f t="shared" si="373"/>
        <v>255.49310168625445</v>
      </c>
      <c r="AL562" s="171">
        <f t="shared" si="374"/>
        <v>100</v>
      </c>
      <c r="AM562" s="171">
        <f>Y562/X562*100</f>
        <v>150</v>
      </c>
      <c r="AN562" s="90"/>
      <c r="AO562" s="193"/>
      <c r="AP562" s="193" t="e">
        <f t="shared" ca="1" si="379"/>
        <v>#NAME?</v>
      </c>
      <c r="AQ562" s="200">
        <f>AQ563</f>
        <v>38787</v>
      </c>
      <c r="AR562" s="204">
        <f>V562/R562*100</f>
        <v>255.49310168625445</v>
      </c>
      <c r="AS562" s="204">
        <f>W562/V562*100</f>
        <v>100</v>
      </c>
      <c r="AT562" s="204">
        <f>W562/R562*100</f>
        <v>255.49310168625445</v>
      </c>
      <c r="AU562" s="204">
        <f>AQ562/W562*100</f>
        <v>96.967500000000001</v>
      </c>
      <c r="AV562" s="204">
        <f>AQ562/R562*100</f>
        <v>247.74527337761882</v>
      </c>
    </row>
    <row r="563" spans="1:48" ht="12" customHeight="1">
      <c r="A563" s="301"/>
      <c r="B563" s="301"/>
      <c r="C563" s="301"/>
      <c r="D563" s="301"/>
      <c r="E563" s="301"/>
      <c r="F563" s="301"/>
      <c r="G563" s="301"/>
      <c r="H563" s="307"/>
      <c r="I563" s="405"/>
      <c r="J563" s="302">
        <v>32</v>
      </c>
      <c r="K563" s="343" t="s">
        <v>233</v>
      </c>
      <c r="L563" s="112">
        <f t="shared" si="384"/>
        <v>291120</v>
      </c>
      <c r="M563" s="112">
        <f t="shared" si="384"/>
        <v>38638.263985665937</v>
      </c>
      <c r="N563" s="113">
        <f t="shared" si="384"/>
        <v>97550</v>
      </c>
      <c r="O563" s="113">
        <f t="shared" si="384"/>
        <v>12947.10996084677</v>
      </c>
      <c r="P563" s="114">
        <f t="shared" si="384"/>
        <v>23000</v>
      </c>
      <c r="Q563" s="114">
        <f t="shared" si="384"/>
        <v>16000</v>
      </c>
      <c r="R563" s="88">
        <f t="shared" si="384"/>
        <v>15656</v>
      </c>
      <c r="S563" s="90" t="e">
        <f t="shared" ca="1" si="384"/>
        <v>#NAME?</v>
      </c>
      <c r="T563" s="90"/>
      <c r="U563" s="90"/>
      <c r="V563" s="200">
        <f>V564</f>
        <v>40000</v>
      </c>
      <c r="W563" s="200">
        <f t="shared" si="385"/>
        <v>40000</v>
      </c>
      <c r="X563" s="88">
        <f t="shared" si="385"/>
        <v>40000</v>
      </c>
      <c r="Y563" s="171">
        <f t="shared" si="385"/>
        <v>60000</v>
      </c>
      <c r="Z563" s="171">
        <f t="shared" si="385"/>
        <v>0</v>
      </c>
      <c r="AA563" s="370" t="e">
        <f t="shared" ca="1" si="380"/>
        <v>#NAME?</v>
      </c>
      <c r="AB563" s="171"/>
      <c r="AC563" s="172">
        <f>AC564</f>
        <v>23000</v>
      </c>
      <c r="AD563" s="172">
        <f>AD564</f>
        <v>23000</v>
      </c>
      <c r="AE563" s="178">
        <f>O563/M563*100</f>
        <v>33.508518823852704</v>
      </c>
      <c r="AF563" s="178">
        <f t="shared" si="386"/>
        <v>177.6458226550487</v>
      </c>
      <c r="AG563" s="178">
        <f t="shared" si="386"/>
        <v>69.565217391304344</v>
      </c>
      <c r="AH563" s="178">
        <f>AC563/Q563*100</f>
        <v>143.75</v>
      </c>
      <c r="AI563" s="171"/>
      <c r="AJ563" s="171">
        <v>60000</v>
      </c>
      <c r="AK563" s="171">
        <f t="shared" si="373"/>
        <v>255.49310168625445</v>
      </c>
      <c r="AL563" s="171">
        <f t="shared" si="374"/>
        <v>100</v>
      </c>
      <c r="AM563" s="171">
        <f>Y563/X563*100</f>
        <v>150</v>
      </c>
      <c r="AN563" s="90"/>
      <c r="AO563" s="193"/>
      <c r="AP563" s="193" t="e">
        <f t="shared" ca="1" si="379"/>
        <v>#NAME?</v>
      </c>
      <c r="AQ563" s="200">
        <f>AQ564</f>
        <v>38787</v>
      </c>
      <c r="AR563" s="204">
        <f>V563/R563*100</f>
        <v>255.49310168625445</v>
      </c>
      <c r="AS563" s="204">
        <f>W563/V563*100</f>
        <v>100</v>
      </c>
      <c r="AT563" s="204">
        <f>W563/R563*100</f>
        <v>255.49310168625445</v>
      </c>
      <c r="AU563" s="204">
        <f>AQ563/W563*100</f>
        <v>96.967500000000001</v>
      </c>
      <c r="AV563" s="204">
        <f>AQ563/R563*100</f>
        <v>247.74527337761882</v>
      </c>
    </row>
    <row r="564" spans="1:48" ht="12" customHeight="1">
      <c r="A564" s="62"/>
      <c r="B564" s="62"/>
      <c r="C564" s="62"/>
      <c r="D564" s="62"/>
      <c r="E564" s="62"/>
      <c r="F564" s="62"/>
      <c r="G564" s="62"/>
      <c r="H564" s="304"/>
      <c r="I564" s="346"/>
      <c r="J564" s="303">
        <v>323</v>
      </c>
      <c r="K564" s="19" t="s">
        <v>447</v>
      </c>
      <c r="L564" s="112">
        <f t="shared" ref="L564:S564" si="387">L565+L566</f>
        <v>291120</v>
      </c>
      <c r="M564" s="112">
        <f t="shared" si="387"/>
        <v>38638.263985665937</v>
      </c>
      <c r="N564" s="113">
        <f t="shared" si="387"/>
        <v>97550</v>
      </c>
      <c r="O564" s="113">
        <f t="shared" si="387"/>
        <v>12947.10996084677</v>
      </c>
      <c r="P564" s="114">
        <f t="shared" si="387"/>
        <v>23000</v>
      </c>
      <c r="Q564" s="114">
        <f t="shared" si="387"/>
        <v>16000</v>
      </c>
      <c r="R564" s="88">
        <f t="shared" si="387"/>
        <v>15656</v>
      </c>
      <c r="S564" s="90" t="e">
        <f t="shared" ca="1" si="387"/>
        <v>#NAME?</v>
      </c>
      <c r="T564" s="90"/>
      <c r="U564" s="90"/>
      <c r="V564" s="200">
        <f>V565+V566</f>
        <v>40000</v>
      </c>
      <c r="W564" s="200">
        <f>W565+W566</f>
        <v>40000</v>
      </c>
      <c r="X564" s="88">
        <f>X565+X566</f>
        <v>40000</v>
      </c>
      <c r="Y564" s="171">
        <f>Y565+Y566</f>
        <v>60000</v>
      </c>
      <c r="Z564" s="171">
        <f>Z565+Z566</f>
        <v>0</v>
      </c>
      <c r="AA564" s="370" t="e">
        <f t="shared" ca="1" si="380"/>
        <v>#NAME?</v>
      </c>
      <c r="AB564" s="171"/>
      <c r="AC564" s="172">
        <f>AC565+AC566</f>
        <v>23000</v>
      </c>
      <c r="AD564" s="172">
        <f>AD565+AD566</f>
        <v>23000</v>
      </c>
      <c r="AE564" s="178">
        <f>O564/M564*100</f>
        <v>33.508518823852704</v>
      </c>
      <c r="AF564" s="178">
        <f t="shared" si="386"/>
        <v>177.6458226550487</v>
      </c>
      <c r="AG564" s="178">
        <f t="shared" si="386"/>
        <v>69.565217391304344</v>
      </c>
      <c r="AH564" s="178">
        <f>AC564/Q564*100</f>
        <v>143.75</v>
      </c>
      <c r="AI564" s="171"/>
      <c r="AJ564" s="171">
        <v>60000</v>
      </c>
      <c r="AK564" s="171">
        <f t="shared" si="373"/>
        <v>255.49310168625445</v>
      </c>
      <c r="AL564" s="171">
        <f t="shared" si="374"/>
        <v>100</v>
      </c>
      <c r="AM564" s="171">
        <f>Y564/X564*100</f>
        <v>150</v>
      </c>
      <c r="AN564" s="90"/>
      <c r="AO564" s="193"/>
      <c r="AP564" s="193" t="e">
        <f t="shared" ca="1" si="379"/>
        <v>#NAME?</v>
      </c>
      <c r="AQ564" s="200">
        <f>AQ565+AQ566</f>
        <v>38787</v>
      </c>
      <c r="AR564" s="204">
        <f>V564/R564*100</f>
        <v>255.49310168625445</v>
      </c>
      <c r="AS564" s="204">
        <f>W564/V564*100</f>
        <v>100</v>
      </c>
      <c r="AT564" s="204">
        <f>W564/R564*100</f>
        <v>255.49310168625445</v>
      </c>
      <c r="AU564" s="204">
        <f>AQ564/W564*100</f>
        <v>96.967500000000001</v>
      </c>
      <c r="AV564" s="204">
        <f>AQ564/R564*100</f>
        <v>247.74527337761882</v>
      </c>
    </row>
    <row r="565" spans="1:48" ht="12" customHeight="1">
      <c r="A565" s="53"/>
      <c r="B565" s="53"/>
      <c r="C565" s="53"/>
      <c r="D565" s="53"/>
      <c r="E565" s="53"/>
      <c r="F565" s="53"/>
      <c r="G565" s="53"/>
      <c r="H565" s="1" t="s">
        <v>500</v>
      </c>
      <c r="I565" s="345">
        <v>451</v>
      </c>
      <c r="J565" s="229">
        <v>3232</v>
      </c>
      <c r="K565" s="18" t="s">
        <v>501</v>
      </c>
      <c r="L565" s="130">
        <v>291120</v>
      </c>
      <c r="M565" s="130">
        <f>291120/7.5345</f>
        <v>38638.263985665937</v>
      </c>
      <c r="N565" s="131">
        <v>97550</v>
      </c>
      <c r="O565" s="131">
        <f>N565/7.5345</f>
        <v>12947.10996084677</v>
      </c>
      <c r="P565" s="132">
        <v>16000</v>
      </c>
      <c r="Q565" s="132">
        <v>16000</v>
      </c>
      <c r="R565" s="159">
        <v>15656</v>
      </c>
      <c r="S565" s="165" t="e">
        <f ca="1">__xlfn.XLOOKUP(H565,[1]Izvršenje_proračuna_po_pozicija!$B$2:$B$153,[1]Izvršenje_proračuna_po_pozicija!$E$2:$E$153,0)</f>
        <v>#NAME?</v>
      </c>
      <c r="T565" s="165"/>
      <c r="U565" s="165"/>
      <c r="V565" s="200">
        <v>40000</v>
      </c>
      <c r="W565" s="200">
        <v>40000</v>
      </c>
      <c r="X565" s="164">
        <v>40000</v>
      </c>
      <c r="Y565" s="378">
        <v>60000</v>
      </c>
      <c r="Z565" s="378"/>
      <c r="AA565" s="370" t="e">
        <f t="shared" ca="1" si="380"/>
        <v>#NAME?</v>
      </c>
      <c r="AB565" s="183"/>
      <c r="AC565" s="178">
        <v>16000</v>
      </c>
      <c r="AD565" s="178">
        <v>16000</v>
      </c>
      <c r="AE565" s="178">
        <f>O565/M565*100</f>
        <v>33.508518823852704</v>
      </c>
      <c r="AF565" s="178">
        <f t="shared" si="386"/>
        <v>123.57970271655563</v>
      </c>
      <c r="AG565" s="178">
        <f t="shared" si="386"/>
        <v>100</v>
      </c>
      <c r="AH565" s="178">
        <f>AC565/Q565*100</f>
        <v>100</v>
      </c>
      <c r="AI565" s="183"/>
      <c r="AJ565" s="378">
        <v>60000</v>
      </c>
      <c r="AK565" s="171">
        <f t="shared" si="373"/>
        <v>255.49310168625445</v>
      </c>
      <c r="AL565" s="171">
        <f t="shared" si="374"/>
        <v>100</v>
      </c>
      <c r="AM565" s="171">
        <f>Y565/X565*100</f>
        <v>150</v>
      </c>
      <c r="AN565" s="165"/>
      <c r="AO565" s="193"/>
      <c r="AP565" s="193" t="e">
        <f t="shared" ca="1" si="379"/>
        <v>#NAME?</v>
      </c>
      <c r="AQ565" s="200">
        <v>38787</v>
      </c>
      <c r="AR565" s="204">
        <f>V565/R565*100</f>
        <v>255.49310168625445</v>
      </c>
      <c r="AS565" s="204">
        <f>W565/V565*100</f>
        <v>100</v>
      </c>
      <c r="AT565" s="204">
        <f>W565/R565*100</f>
        <v>255.49310168625445</v>
      </c>
      <c r="AU565" s="204">
        <f>AQ565/W565*100</f>
        <v>96.967500000000001</v>
      </c>
      <c r="AV565" s="204">
        <f>AQ565/R565*100</f>
        <v>247.74527337761882</v>
      </c>
    </row>
    <row r="566" spans="1:48" ht="12" customHeight="1">
      <c r="A566" s="209"/>
      <c r="B566" s="209"/>
      <c r="C566" s="209"/>
      <c r="D566" s="209"/>
      <c r="E566" s="209"/>
      <c r="F566" s="209"/>
      <c r="G566" s="209"/>
      <c r="H566" s="21" t="s">
        <v>502</v>
      </c>
      <c r="I566" s="397">
        <v>451</v>
      </c>
      <c r="J566" s="229">
        <v>3237</v>
      </c>
      <c r="K566" s="18" t="s">
        <v>503</v>
      </c>
      <c r="L566" s="130">
        <v>0</v>
      </c>
      <c r="M566" s="130">
        <v>0</v>
      </c>
      <c r="N566" s="131">
        <v>0</v>
      </c>
      <c r="O566" s="131">
        <v>0</v>
      </c>
      <c r="P566" s="132">
        <v>7000</v>
      </c>
      <c r="Q566" s="163">
        <v>0</v>
      </c>
      <c r="R566" s="159">
        <v>0</v>
      </c>
      <c r="S566" s="165" t="e">
        <f ca="1">__xlfn.XLOOKUP(H566,[1]Izvršenje_proračuna_po_pozicija!$B$2:$B$153,[1]Izvršenje_proračuna_po_pozicija!$E$2:$E$153,0)</f>
        <v>#NAME?</v>
      </c>
      <c r="T566" s="165"/>
      <c r="U566" s="165"/>
      <c r="V566" s="200"/>
      <c r="W566" s="200"/>
      <c r="X566" s="164"/>
      <c r="Y566" s="378"/>
      <c r="Z566" s="378"/>
      <c r="AA566" s="370" t="e">
        <f t="shared" ca="1" si="380"/>
        <v>#NAME?</v>
      </c>
      <c r="AB566" s="183"/>
      <c r="AC566" s="178">
        <v>7000</v>
      </c>
      <c r="AD566" s="178">
        <v>7000</v>
      </c>
      <c r="AE566" s="178"/>
      <c r="AF566" s="178"/>
      <c r="AG566" s="178"/>
      <c r="AH566" s="178"/>
      <c r="AI566" s="183"/>
      <c r="AJ566" s="378"/>
      <c r="AK566" s="171"/>
      <c r="AL566" s="171"/>
      <c r="AM566" s="171"/>
      <c r="AN566" s="165"/>
      <c r="AO566" s="193"/>
      <c r="AP566" s="193" t="e">
        <f t="shared" ca="1" si="379"/>
        <v>#NAME?</v>
      </c>
      <c r="AQ566" s="200"/>
      <c r="AR566" s="204"/>
      <c r="AS566" s="204"/>
      <c r="AT566" s="204"/>
      <c r="AU566" s="204"/>
      <c r="AV566" s="204"/>
    </row>
    <row r="567" spans="1:48" ht="12" customHeight="1">
      <c r="A567" s="42"/>
      <c r="B567" s="42"/>
      <c r="C567" s="42"/>
      <c r="D567" s="42"/>
      <c r="E567" s="42"/>
      <c r="F567" s="42"/>
      <c r="G567" s="42"/>
      <c r="H567" s="308"/>
      <c r="I567" s="14"/>
      <c r="J567" s="2"/>
      <c r="K567" s="84"/>
      <c r="L567" s="85"/>
      <c r="M567" s="85"/>
      <c r="N567" s="86"/>
      <c r="O567" s="86"/>
      <c r="P567" s="87"/>
      <c r="Q567" s="87"/>
      <c r="R567" s="160"/>
      <c r="S567" s="165" t="e">
        <f ca="1">__xlfn.XLOOKUP(H567,[1]Izvršenje_proračuna_po_pozicija!$B$2:$B$153,[1]Izvršenje_proračuna_po_pozicija!$E$2:$E$153,0)</f>
        <v>#NAME?</v>
      </c>
      <c r="T567" s="165"/>
      <c r="U567" s="165"/>
      <c r="V567" s="200"/>
      <c r="W567" s="200"/>
      <c r="X567" s="361"/>
      <c r="Y567" s="373"/>
      <c r="Z567" s="373"/>
      <c r="AA567" s="370" t="e">
        <f t="shared" ca="1" si="380"/>
        <v>#NAME?</v>
      </c>
      <c r="AB567" s="181"/>
      <c r="AC567" s="182"/>
      <c r="AD567" s="182"/>
      <c r="AE567" s="178"/>
      <c r="AF567" s="178"/>
      <c r="AG567" s="178"/>
      <c r="AH567" s="178"/>
      <c r="AI567" s="181"/>
      <c r="AJ567" s="373"/>
      <c r="AK567" s="171"/>
      <c r="AL567" s="171"/>
      <c r="AM567" s="171"/>
      <c r="AN567" s="161"/>
      <c r="AO567" s="193"/>
      <c r="AP567" s="193" t="e">
        <f t="shared" ca="1" si="379"/>
        <v>#NAME?</v>
      </c>
      <c r="AQ567" s="200"/>
      <c r="AR567" s="204"/>
      <c r="AS567" s="204"/>
      <c r="AT567" s="204"/>
      <c r="AU567" s="204"/>
      <c r="AV567" s="204"/>
    </row>
    <row r="568" spans="1:48" ht="12" customHeight="1">
      <c r="A568" s="390" t="s">
        <v>415</v>
      </c>
      <c r="B568" s="391"/>
      <c r="C568" s="391"/>
      <c r="D568" s="391"/>
      <c r="E568" s="391"/>
      <c r="F568" s="391"/>
      <c r="G568" s="391"/>
      <c r="H568" s="392"/>
      <c r="I568" s="453" t="s">
        <v>504</v>
      </c>
      <c r="J568" s="454"/>
      <c r="K568" s="124"/>
      <c r="L568" s="112">
        <f t="shared" ref="L568:S568" si="388">L570+L578</f>
        <v>5271635</v>
      </c>
      <c r="M568" s="112">
        <f t="shared" si="388"/>
        <v>699666.20213683718</v>
      </c>
      <c r="N568" s="113">
        <f t="shared" si="388"/>
        <v>4658599</v>
      </c>
      <c r="O568" s="113">
        <f t="shared" si="388"/>
        <v>618302.34255756845</v>
      </c>
      <c r="P568" s="114">
        <f t="shared" si="388"/>
        <v>692000</v>
      </c>
      <c r="Q568" s="114">
        <f t="shared" si="388"/>
        <v>705000</v>
      </c>
      <c r="R568" s="88">
        <f t="shared" si="388"/>
        <v>689952</v>
      </c>
      <c r="S568" s="90" t="e">
        <f t="shared" ca="1" si="388"/>
        <v>#NAME?</v>
      </c>
      <c r="T568" s="90"/>
      <c r="U568" s="90"/>
      <c r="V568" s="200">
        <f>V570+V578</f>
        <v>815000</v>
      </c>
      <c r="W568" s="200">
        <f>W570+W578</f>
        <v>777927</v>
      </c>
      <c r="X568" s="88">
        <f>X570+X578</f>
        <v>1220000</v>
      </c>
      <c r="Y568" s="171">
        <f>Y570+Y578</f>
        <v>1475000</v>
      </c>
      <c r="Z568" s="171">
        <f>Z570+Z578</f>
        <v>0</v>
      </c>
      <c r="AA568" s="370" t="e">
        <f t="shared" ca="1" si="380"/>
        <v>#NAME?</v>
      </c>
      <c r="AB568" s="171"/>
      <c r="AC568" s="172">
        <f>AC570+AC578</f>
        <v>635000</v>
      </c>
      <c r="AD568" s="172">
        <f>AD570+AD578</f>
        <v>635000</v>
      </c>
      <c r="AE568" s="178">
        <f>O568/M568*100</f>
        <v>88.371046174479076</v>
      </c>
      <c r="AF568" s="178">
        <f>P568/O568*100</f>
        <v>111.91935601239773</v>
      </c>
      <c r="AG568" s="178">
        <f>Q568/P568*100</f>
        <v>101.878612716763</v>
      </c>
      <c r="AH568" s="178">
        <f>AC568/Q568*100</f>
        <v>90.070921985815602</v>
      </c>
      <c r="AI568" s="171"/>
      <c r="AJ568" s="171">
        <v>1475000</v>
      </c>
      <c r="AK568" s="171">
        <f t="shared" si="373"/>
        <v>112.75088701822736</v>
      </c>
      <c r="AL568" s="171">
        <f t="shared" si="374"/>
        <v>156.82705446655021</v>
      </c>
      <c r="AM568" s="171">
        <f>Y568/X568*100</f>
        <v>120.90163934426231</v>
      </c>
      <c r="AN568" s="90"/>
      <c r="AO568" s="193"/>
      <c r="AP568" s="193" t="e">
        <f t="shared" ca="1" si="379"/>
        <v>#NAME?</v>
      </c>
      <c r="AQ568" s="200">
        <f>AQ570+AQ578</f>
        <v>691130.36</v>
      </c>
      <c r="AR568" s="204">
        <f>V568/R568*100</f>
        <v>118.12415936181068</v>
      </c>
      <c r="AS568" s="204">
        <f>W568/V568*100</f>
        <v>95.45116564417178</v>
      </c>
      <c r="AT568" s="204">
        <f>W568/R568*100</f>
        <v>112.75088701822736</v>
      </c>
      <c r="AU568" s="204">
        <f>AQ568/W568*100</f>
        <v>88.842572632136424</v>
      </c>
      <c r="AV568" s="204">
        <f>AQ568/R568*100</f>
        <v>100.17078869254672</v>
      </c>
    </row>
    <row r="569" spans="1:48" ht="12" customHeight="1">
      <c r="A569" s="53"/>
      <c r="B569" s="53"/>
      <c r="C569" s="53"/>
      <c r="D569" s="53"/>
      <c r="E569" s="53"/>
      <c r="F569" s="53"/>
      <c r="G569" s="53"/>
      <c r="H569" s="1"/>
      <c r="I569" s="345"/>
      <c r="J569" s="229"/>
      <c r="K569" s="18"/>
      <c r="L569" s="119"/>
      <c r="M569" s="119"/>
      <c r="N569" s="120"/>
      <c r="O569" s="120"/>
      <c r="P569" s="121"/>
      <c r="Q569" s="121"/>
      <c r="R569" s="157"/>
      <c r="S569" s="165" t="e">
        <f ca="1">__xlfn.XLOOKUP(H569,[1]Izvršenje_proračuna_po_pozicija!$B$2:$B$153,[1]Izvršenje_proračuna_po_pozicija!$E$2:$E$153,0)</f>
        <v>#NAME?</v>
      </c>
      <c r="T569" s="165"/>
      <c r="U569" s="165"/>
      <c r="V569" s="200"/>
      <c r="W569" s="200"/>
      <c r="X569" s="164"/>
      <c r="Y569" s="369"/>
      <c r="Z569" s="369"/>
      <c r="AA569" s="370" t="e">
        <f t="shared" ca="1" si="380"/>
        <v>#NAME?</v>
      </c>
      <c r="AB569" s="179"/>
      <c r="AC569" s="180"/>
      <c r="AD569" s="180"/>
      <c r="AE569" s="178"/>
      <c r="AF569" s="178"/>
      <c r="AG569" s="178"/>
      <c r="AH569" s="178"/>
      <c r="AI569" s="179"/>
      <c r="AJ569" s="369"/>
      <c r="AK569" s="171"/>
      <c r="AL569" s="171"/>
      <c r="AM569" s="171"/>
      <c r="AN569" s="158"/>
      <c r="AO569" s="193"/>
      <c r="AP569" s="193" t="e">
        <f t="shared" ca="1" si="379"/>
        <v>#NAME?</v>
      </c>
      <c r="AQ569" s="200"/>
      <c r="AR569" s="204"/>
      <c r="AS569" s="204"/>
      <c r="AT569" s="204"/>
      <c r="AU569" s="204"/>
      <c r="AV569" s="204"/>
    </row>
    <row r="570" spans="1:48" ht="12" customHeight="1">
      <c r="A570" s="24"/>
      <c r="B570" s="24"/>
      <c r="C570" s="24"/>
      <c r="D570" s="24"/>
      <c r="E570" s="24"/>
      <c r="F570" s="24"/>
      <c r="G570" s="24"/>
      <c r="H570" s="393"/>
      <c r="I570" s="404"/>
      <c r="J570" s="281">
        <v>3</v>
      </c>
      <c r="K570" s="2" t="s">
        <v>224</v>
      </c>
      <c r="L570" s="112">
        <f t="shared" ref="L570:AD571" si="389">L571</f>
        <v>4285000</v>
      </c>
      <c r="M570" s="112">
        <f t="shared" si="389"/>
        <v>568717.23405667255</v>
      </c>
      <c r="N570" s="113">
        <f t="shared" si="389"/>
        <v>4637866</v>
      </c>
      <c r="O570" s="113">
        <f t="shared" si="389"/>
        <v>615550.60057070805</v>
      </c>
      <c r="P570" s="114">
        <f t="shared" si="389"/>
        <v>631000</v>
      </c>
      <c r="Q570" s="114">
        <f t="shared" si="389"/>
        <v>665000</v>
      </c>
      <c r="R570" s="88">
        <f t="shared" si="389"/>
        <v>653971</v>
      </c>
      <c r="S570" s="90" t="e">
        <f t="shared" ca="1" si="389"/>
        <v>#NAME?</v>
      </c>
      <c r="T570" s="90"/>
      <c r="U570" s="90"/>
      <c r="V570" s="200">
        <f>V571</f>
        <v>750000</v>
      </c>
      <c r="W570" s="200">
        <f t="shared" si="389"/>
        <v>712927</v>
      </c>
      <c r="X570" s="88">
        <f t="shared" si="389"/>
        <v>1050000</v>
      </c>
      <c r="Y570" s="171">
        <f t="shared" si="389"/>
        <v>1250000</v>
      </c>
      <c r="Z570" s="171">
        <f t="shared" si="389"/>
        <v>0</v>
      </c>
      <c r="AA570" s="370" t="e">
        <f t="shared" ca="1" si="380"/>
        <v>#NAME?</v>
      </c>
      <c r="AB570" s="171"/>
      <c r="AC570" s="172">
        <f t="shared" si="389"/>
        <v>610000</v>
      </c>
      <c r="AD570" s="172">
        <f t="shared" si="389"/>
        <v>610000</v>
      </c>
      <c r="AE570" s="178">
        <f>O570/M570*100</f>
        <v>108.23491248541426</v>
      </c>
      <c r="AF570" s="178">
        <f t="shared" ref="AF570:AG573" si="390">P570/O570*100</f>
        <v>102.50985043552359</v>
      </c>
      <c r="AG570" s="178">
        <f t="shared" si="390"/>
        <v>105.38827258320127</v>
      </c>
      <c r="AH570" s="178">
        <f>AC570/Q570*100</f>
        <v>91.729323308270665</v>
      </c>
      <c r="AI570" s="171"/>
      <c r="AJ570" s="171">
        <v>1250000</v>
      </c>
      <c r="AK570" s="171">
        <f t="shared" si="373"/>
        <v>109.01507865027654</v>
      </c>
      <c r="AL570" s="171">
        <f t="shared" si="374"/>
        <v>147.28015631333923</v>
      </c>
      <c r="AM570" s="171"/>
      <c r="AN570" s="90"/>
      <c r="AO570" s="193"/>
      <c r="AP570" s="193" t="e">
        <f t="shared" ca="1" si="379"/>
        <v>#NAME?</v>
      </c>
      <c r="AQ570" s="200">
        <f>AQ571</f>
        <v>625975</v>
      </c>
      <c r="AR570" s="204">
        <f>V570/R570*100</f>
        <v>114.68398445802643</v>
      </c>
      <c r="AS570" s="204">
        <f>W570/V570*100</f>
        <v>95.056933333333333</v>
      </c>
      <c r="AT570" s="204">
        <f>W570/R570*100</f>
        <v>109.01507865027654</v>
      </c>
      <c r="AU570" s="204">
        <f>AQ570/W570*100</f>
        <v>87.803519855469077</v>
      </c>
      <c r="AV570" s="204">
        <f>AQ570/R570*100</f>
        <v>95.719076228150783</v>
      </c>
    </row>
    <row r="571" spans="1:48" ht="12" customHeight="1">
      <c r="A571" s="301"/>
      <c r="B571" s="301"/>
      <c r="C571" s="301"/>
      <c r="D571" s="301"/>
      <c r="E571" s="301"/>
      <c r="F571" s="301"/>
      <c r="G571" s="301"/>
      <c r="H571" s="307"/>
      <c r="I571" s="405"/>
      <c r="J571" s="302">
        <v>38</v>
      </c>
      <c r="K571" s="343" t="s">
        <v>285</v>
      </c>
      <c r="L571" s="112">
        <f t="shared" si="389"/>
        <v>4285000</v>
      </c>
      <c r="M571" s="112">
        <f t="shared" si="389"/>
        <v>568717.23405667255</v>
      </c>
      <c r="N571" s="113">
        <f t="shared" si="389"/>
        <v>4637866</v>
      </c>
      <c r="O571" s="113">
        <f t="shared" si="389"/>
        <v>615550.60057070805</v>
      </c>
      <c r="P571" s="114">
        <f t="shared" si="389"/>
        <v>631000</v>
      </c>
      <c r="Q571" s="114">
        <f t="shared" si="389"/>
        <v>665000</v>
      </c>
      <c r="R571" s="88">
        <f t="shared" si="389"/>
        <v>653971</v>
      </c>
      <c r="S571" s="90" t="e">
        <f t="shared" ca="1" si="389"/>
        <v>#NAME?</v>
      </c>
      <c r="T571" s="90"/>
      <c r="U571" s="90"/>
      <c r="V571" s="200">
        <f>V572</f>
        <v>750000</v>
      </c>
      <c r="W571" s="200">
        <f t="shared" si="389"/>
        <v>712927</v>
      </c>
      <c r="X571" s="88">
        <f t="shared" si="389"/>
        <v>1050000</v>
      </c>
      <c r="Y571" s="171">
        <f t="shared" si="389"/>
        <v>1250000</v>
      </c>
      <c r="Z571" s="171">
        <f t="shared" si="389"/>
        <v>0</v>
      </c>
      <c r="AA571" s="370" t="e">
        <f t="shared" ca="1" si="380"/>
        <v>#NAME?</v>
      </c>
      <c r="AB571" s="171"/>
      <c r="AC571" s="172">
        <f t="shared" si="389"/>
        <v>610000</v>
      </c>
      <c r="AD571" s="172">
        <f t="shared" si="389"/>
        <v>610000</v>
      </c>
      <c r="AE571" s="178">
        <f>O571/M571*100</f>
        <v>108.23491248541426</v>
      </c>
      <c r="AF571" s="178">
        <f t="shared" si="390"/>
        <v>102.50985043552359</v>
      </c>
      <c r="AG571" s="178">
        <f t="shared" si="390"/>
        <v>105.38827258320127</v>
      </c>
      <c r="AH571" s="178">
        <f>AC571/Q571*100</f>
        <v>91.729323308270665</v>
      </c>
      <c r="AI571" s="171"/>
      <c r="AJ571" s="171">
        <v>1250000</v>
      </c>
      <c r="AK571" s="171">
        <f t="shared" si="373"/>
        <v>109.01507865027654</v>
      </c>
      <c r="AL571" s="171">
        <f t="shared" si="374"/>
        <v>147.28015631333923</v>
      </c>
      <c r="AM571" s="171"/>
      <c r="AN571" s="90"/>
      <c r="AO571" s="193"/>
      <c r="AP571" s="193" t="e">
        <f t="shared" ca="1" si="379"/>
        <v>#NAME?</v>
      </c>
      <c r="AQ571" s="200">
        <f>AQ572</f>
        <v>625975</v>
      </c>
      <c r="AR571" s="204">
        <f>V571/R571*100</f>
        <v>114.68398445802643</v>
      </c>
      <c r="AS571" s="204">
        <f>W571/V571*100</f>
        <v>95.056933333333333</v>
      </c>
      <c r="AT571" s="204">
        <f>W571/R571*100</f>
        <v>109.01507865027654</v>
      </c>
      <c r="AU571" s="204">
        <f>AQ571/W571*100</f>
        <v>87.803519855469077</v>
      </c>
      <c r="AV571" s="204">
        <f>AQ571/R571*100</f>
        <v>95.719076228150783</v>
      </c>
    </row>
    <row r="572" spans="1:48" ht="12" customHeight="1">
      <c r="A572" s="62"/>
      <c r="B572" s="62"/>
      <c r="C572" s="62"/>
      <c r="D572" s="62"/>
      <c r="E572" s="62"/>
      <c r="F572" s="62"/>
      <c r="G572" s="62"/>
      <c r="H572" s="304"/>
      <c r="I572" s="346"/>
      <c r="J572" s="303">
        <v>386</v>
      </c>
      <c r="K572" s="19" t="s">
        <v>505</v>
      </c>
      <c r="L572" s="112">
        <f t="shared" ref="L572:S572" si="391">L573+L574+L575+L576</f>
        <v>4285000</v>
      </c>
      <c r="M572" s="112">
        <f t="shared" si="391"/>
        <v>568717.23405667255</v>
      </c>
      <c r="N572" s="113">
        <f t="shared" si="391"/>
        <v>4637866</v>
      </c>
      <c r="O572" s="113">
        <f t="shared" si="391"/>
        <v>615550.60057070805</v>
      </c>
      <c r="P572" s="114">
        <f t="shared" si="391"/>
        <v>631000</v>
      </c>
      <c r="Q572" s="114">
        <f t="shared" si="391"/>
        <v>665000</v>
      </c>
      <c r="R572" s="88">
        <f t="shared" si="391"/>
        <v>653971</v>
      </c>
      <c r="S572" s="90" t="e">
        <f t="shared" ca="1" si="391"/>
        <v>#NAME?</v>
      </c>
      <c r="T572" s="90"/>
      <c r="U572" s="90"/>
      <c r="V572" s="200">
        <f>V573+V574+V575+V576</f>
        <v>750000</v>
      </c>
      <c r="W572" s="200">
        <f>W573+W574+W575+W576</f>
        <v>712927</v>
      </c>
      <c r="X572" s="88">
        <f>X573+X574+X575+X576</f>
        <v>1050000</v>
      </c>
      <c r="Y572" s="171">
        <f>Y573+Y574+Y575+Y576</f>
        <v>1250000</v>
      </c>
      <c r="Z572" s="171">
        <f>Z573+Z574+Z575+Z576</f>
        <v>0</v>
      </c>
      <c r="AA572" s="370" t="e">
        <f t="shared" ca="1" si="380"/>
        <v>#NAME?</v>
      </c>
      <c r="AB572" s="171"/>
      <c r="AC572" s="172">
        <f>AC573+AC574+AC575+AC576</f>
        <v>610000</v>
      </c>
      <c r="AD572" s="172">
        <f>AD573+AD574+AD575+AD576</f>
        <v>610000</v>
      </c>
      <c r="AE572" s="178">
        <f>O572/M572*100</f>
        <v>108.23491248541426</v>
      </c>
      <c r="AF572" s="178">
        <f t="shared" si="390"/>
        <v>102.50985043552359</v>
      </c>
      <c r="AG572" s="178">
        <f t="shared" si="390"/>
        <v>105.38827258320127</v>
      </c>
      <c r="AH572" s="178">
        <f>AC572/Q572*100</f>
        <v>91.729323308270665</v>
      </c>
      <c r="AI572" s="171"/>
      <c r="AJ572" s="171">
        <v>1250000</v>
      </c>
      <c r="AK572" s="171">
        <f t="shared" si="373"/>
        <v>109.01507865027654</v>
      </c>
      <c r="AL572" s="171">
        <f t="shared" si="374"/>
        <v>147.28015631333923</v>
      </c>
      <c r="AM572" s="171"/>
      <c r="AN572" s="90"/>
      <c r="AO572" s="193"/>
      <c r="AP572" s="193" t="e">
        <f t="shared" ca="1" si="379"/>
        <v>#NAME?</v>
      </c>
      <c r="AQ572" s="200">
        <f>AQ573+AQ574+AQ575+AQ576</f>
        <v>625975</v>
      </c>
      <c r="AR572" s="204">
        <f>V572/R572*100</f>
        <v>114.68398445802643</v>
      </c>
      <c r="AS572" s="204">
        <f>W572/V572*100</f>
        <v>95.056933333333333</v>
      </c>
      <c r="AT572" s="204">
        <f>W572/R572*100</f>
        <v>109.01507865027654</v>
      </c>
      <c r="AU572" s="204">
        <f>AQ572/W572*100</f>
        <v>87.803519855469077</v>
      </c>
      <c r="AV572" s="204">
        <f>AQ572/R572*100</f>
        <v>95.719076228150783</v>
      </c>
    </row>
    <row r="573" spans="1:48" ht="12" customHeight="1">
      <c r="A573" s="53"/>
      <c r="B573" s="53"/>
      <c r="C573" s="53"/>
      <c r="D573" s="53"/>
      <c r="E573" s="53"/>
      <c r="F573" s="53"/>
      <c r="G573" s="53"/>
      <c r="H573" s="1" t="s">
        <v>506</v>
      </c>
      <c r="I573" s="345">
        <v>451</v>
      </c>
      <c r="J573" s="229">
        <v>3861</v>
      </c>
      <c r="K573" s="607" t="s">
        <v>507</v>
      </c>
      <c r="L573" s="130">
        <v>950000</v>
      </c>
      <c r="M573" s="130">
        <f>950000/7.5345</f>
        <v>126086.66799389475</v>
      </c>
      <c r="N573" s="131">
        <v>1100000</v>
      </c>
      <c r="O573" s="131">
        <f>N573/7.5345</f>
        <v>145995.08925608866</v>
      </c>
      <c r="P573" s="132">
        <v>142000</v>
      </c>
      <c r="Q573" s="163">
        <v>420000</v>
      </c>
      <c r="R573" s="159">
        <v>398790</v>
      </c>
      <c r="S573" s="165" t="e">
        <f ca="1">__xlfn.XLOOKUP(H573,[1]Izvršenje_proračuna_po_pozicija!$B$2:$B$153,[1]Izvršenje_proračuna_po_pozicija!$E$2:$E$153,0)</f>
        <v>#NAME?</v>
      </c>
      <c r="T573" s="165"/>
      <c r="U573" s="165"/>
      <c r="V573" s="200">
        <v>350000</v>
      </c>
      <c r="W573" s="200">
        <v>312927</v>
      </c>
      <c r="X573" s="164">
        <v>250000</v>
      </c>
      <c r="Y573" s="378">
        <v>400000</v>
      </c>
      <c r="Z573" s="378"/>
      <c r="AA573" s="370" t="e">
        <f t="shared" ca="1" si="380"/>
        <v>#NAME?</v>
      </c>
      <c r="AB573" s="183"/>
      <c r="AC573" s="178">
        <v>150000</v>
      </c>
      <c r="AD573" s="178">
        <v>150000</v>
      </c>
      <c r="AE573" s="178">
        <f>O573/M573*100</f>
        <v>115.78947368421053</v>
      </c>
      <c r="AF573" s="178">
        <f t="shared" si="390"/>
        <v>97.263545454545451</v>
      </c>
      <c r="AG573" s="178">
        <f t="shared" si="390"/>
        <v>295.77464788732397</v>
      </c>
      <c r="AH573" s="178">
        <f>AC573/Q573*100</f>
        <v>35.714285714285715</v>
      </c>
      <c r="AI573" s="183"/>
      <c r="AJ573" s="378">
        <v>400000</v>
      </c>
      <c r="AK573" s="171">
        <f t="shared" si="373"/>
        <v>78.469119085232833</v>
      </c>
      <c r="AL573" s="171">
        <f t="shared" si="374"/>
        <v>79.890837160104439</v>
      </c>
      <c r="AM573" s="171"/>
      <c r="AN573" s="165"/>
      <c r="AO573" s="193"/>
      <c r="AP573" s="193" t="e">
        <f t="shared" ca="1" si="379"/>
        <v>#NAME?</v>
      </c>
      <c r="AQ573" s="200">
        <v>289000</v>
      </c>
      <c r="AR573" s="204">
        <f>V573/R573*100</f>
        <v>87.765490609092495</v>
      </c>
      <c r="AS573" s="204">
        <f>W573/V573*100</f>
        <v>89.407714285714292</v>
      </c>
      <c r="AT573" s="204">
        <f>W573/R573*100</f>
        <v>78.469119085232833</v>
      </c>
      <c r="AU573" s="204">
        <f>AQ573/W573*100</f>
        <v>92.35380775708073</v>
      </c>
      <c r="AV573" s="204">
        <f>AQ573/R573*100</f>
        <v>72.469219388650657</v>
      </c>
    </row>
    <row r="574" spans="1:48" ht="12" customHeight="1">
      <c r="A574" s="53"/>
      <c r="B574" s="53"/>
      <c r="C574" s="53"/>
      <c r="D574" s="53"/>
      <c r="E574" s="53"/>
      <c r="F574" s="53"/>
      <c r="G574" s="53"/>
      <c r="H574" s="1" t="s">
        <v>508</v>
      </c>
      <c r="I574" s="345">
        <v>451</v>
      </c>
      <c r="J574" s="229">
        <v>3861</v>
      </c>
      <c r="K574" s="607" t="s">
        <v>509</v>
      </c>
      <c r="L574" s="130">
        <v>0</v>
      </c>
      <c r="M574" s="130">
        <v>0</v>
      </c>
      <c r="N574" s="131">
        <v>0</v>
      </c>
      <c r="O574" s="131">
        <f>N574/7.5345</f>
        <v>0</v>
      </c>
      <c r="P574" s="132">
        <v>0</v>
      </c>
      <c r="Q574" s="132">
        <v>0</v>
      </c>
      <c r="R574" s="159">
        <v>0</v>
      </c>
      <c r="S574" s="165" t="e">
        <f ca="1">__xlfn.XLOOKUP(H574,[1]Izvršenje_proračuna_po_pozicija!$B$2:$B$153,[1]Izvršenje_proračuna_po_pozicija!$E$2:$E$153,0)</f>
        <v>#NAME?</v>
      </c>
      <c r="T574" s="165"/>
      <c r="U574" s="165"/>
      <c r="V574" s="200"/>
      <c r="W574" s="200"/>
      <c r="X574" s="164"/>
      <c r="Y574" s="378"/>
      <c r="Z574" s="378"/>
      <c r="AA574" s="370" t="e">
        <f t="shared" ca="1" si="380"/>
        <v>#NAME?</v>
      </c>
      <c r="AB574" s="183"/>
      <c r="AC574" s="178">
        <v>0</v>
      </c>
      <c r="AD574" s="178">
        <v>0</v>
      </c>
      <c r="AE574" s="178"/>
      <c r="AF574" s="178"/>
      <c r="AG574" s="178"/>
      <c r="AH574" s="178"/>
      <c r="AI574" s="183"/>
      <c r="AJ574" s="378"/>
      <c r="AK574" s="171"/>
      <c r="AL574" s="171"/>
      <c r="AM574" s="171"/>
      <c r="AN574" s="165"/>
      <c r="AO574" s="193"/>
      <c r="AP574" s="193" t="e">
        <f t="shared" ca="1" si="379"/>
        <v>#NAME?</v>
      </c>
      <c r="AQ574" s="200"/>
      <c r="AR574" s="204"/>
      <c r="AS574" s="204"/>
      <c r="AT574" s="204"/>
      <c r="AU574" s="204"/>
      <c r="AV574" s="204"/>
    </row>
    <row r="575" spans="1:48" ht="12" customHeight="1">
      <c r="A575" s="53"/>
      <c r="B575" s="53"/>
      <c r="C575" s="53"/>
      <c r="D575" s="53"/>
      <c r="E575" s="53"/>
      <c r="F575" s="53"/>
      <c r="G575" s="53"/>
      <c r="H575" s="1" t="s">
        <v>510</v>
      </c>
      <c r="I575" s="345">
        <v>451</v>
      </c>
      <c r="J575" s="229">
        <v>3861</v>
      </c>
      <c r="K575" s="18" t="s">
        <v>511</v>
      </c>
      <c r="L575" s="130">
        <v>1210000</v>
      </c>
      <c r="M575" s="130">
        <f>1210000/7.5345</f>
        <v>160594.59818169751</v>
      </c>
      <c r="N575" s="131">
        <v>2657866</v>
      </c>
      <c r="O575" s="131">
        <f>N575/7.5345</f>
        <v>352759.43990974844</v>
      </c>
      <c r="P575" s="132">
        <v>489000</v>
      </c>
      <c r="Q575" s="163">
        <v>245000</v>
      </c>
      <c r="R575" s="159">
        <v>240181</v>
      </c>
      <c r="S575" s="165" t="e">
        <f ca="1">__xlfn.XLOOKUP(H575,[1]Izvršenje_proračuna_po_pozicija!$B$2:$B$153,[1]Izvršenje_proračuna_po_pozicija!$E$2:$E$153,0)</f>
        <v>#NAME?</v>
      </c>
      <c r="T575" s="165"/>
      <c r="U575" s="165"/>
      <c r="V575" s="200">
        <v>400000</v>
      </c>
      <c r="W575" s="200">
        <v>400000</v>
      </c>
      <c r="X575" s="164">
        <v>800000</v>
      </c>
      <c r="Y575" s="378">
        <v>850000</v>
      </c>
      <c r="Z575" s="378"/>
      <c r="AA575" s="370" t="e">
        <f t="shared" ca="1" si="380"/>
        <v>#NAME?</v>
      </c>
      <c r="AB575" s="183"/>
      <c r="AC575" s="178">
        <v>460000</v>
      </c>
      <c r="AD575" s="178">
        <v>460000</v>
      </c>
      <c r="AE575" s="178">
        <f t="shared" ref="AE575:AE580" si="392">O575/M575*100</f>
        <v>219.65834710743798</v>
      </c>
      <c r="AF575" s="178">
        <f>P575/O575*100</f>
        <v>138.62137895589925</v>
      </c>
      <c r="AG575" s="178">
        <f>Q575/P575*100</f>
        <v>50.102249488752562</v>
      </c>
      <c r="AH575" s="178">
        <f>AC575/Q575*100</f>
        <v>187.75510204081633</v>
      </c>
      <c r="AI575" s="183"/>
      <c r="AJ575" s="378">
        <v>850000</v>
      </c>
      <c r="AK575" s="171">
        <f t="shared" si="373"/>
        <v>166.54106694534539</v>
      </c>
      <c r="AL575" s="171">
        <f t="shared" si="374"/>
        <v>200</v>
      </c>
      <c r="AM575" s="171"/>
      <c r="AN575" s="165"/>
      <c r="AO575" s="193"/>
      <c r="AP575" s="193" t="e">
        <f t="shared" ca="1" si="379"/>
        <v>#NAME?</v>
      </c>
      <c r="AQ575" s="200">
        <v>336975</v>
      </c>
      <c r="AR575" s="204">
        <f>V575/R575*100</f>
        <v>166.54106694534539</v>
      </c>
      <c r="AS575" s="204">
        <f>W575/V575*100</f>
        <v>100</v>
      </c>
      <c r="AT575" s="204">
        <f>W575/R575*100</f>
        <v>166.54106694534539</v>
      </c>
      <c r="AU575" s="204">
        <f>AQ575/W575*100</f>
        <v>84.243749999999991</v>
      </c>
      <c r="AV575" s="204">
        <f>AQ575/R575*100</f>
        <v>140.30044008476941</v>
      </c>
    </row>
    <row r="576" spans="1:48" ht="12" customHeight="1">
      <c r="A576" s="42"/>
      <c r="B576" s="42"/>
      <c r="C576" s="42"/>
      <c r="D576" s="42"/>
      <c r="E576" s="42"/>
      <c r="F576" s="42"/>
      <c r="G576" s="42"/>
      <c r="H576" s="1" t="s">
        <v>512</v>
      </c>
      <c r="I576" s="345">
        <v>451</v>
      </c>
      <c r="J576" s="229">
        <v>3861</v>
      </c>
      <c r="K576" s="18" t="s">
        <v>513</v>
      </c>
      <c r="L576" s="137">
        <v>2125000</v>
      </c>
      <c r="M576" s="137">
        <f>2125000/7.5345</f>
        <v>282035.96788108035</v>
      </c>
      <c r="N576" s="138">
        <v>880000</v>
      </c>
      <c r="O576" s="131">
        <f>N576/7.5345</f>
        <v>116796.07140487092</v>
      </c>
      <c r="P576" s="139">
        <v>0</v>
      </c>
      <c r="Q576" s="139">
        <v>0</v>
      </c>
      <c r="R576" s="137">
        <v>15000</v>
      </c>
      <c r="S576" s="165" t="e">
        <f ca="1">__xlfn.XLOOKUP(H576,[1]Izvršenje_proračuna_po_pozicija!$B$2:$B$153,[1]Izvršenje_proračuna_po_pozicija!$E$2:$E$153,0)</f>
        <v>#NAME?</v>
      </c>
      <c r="T576" s="165"/>
      <c r="U576" s="165"/>
      <c r="V576" s="200"/>
      <c r="W576" s="200"/>
      <c r="X576" s="166"/>
      <c r="Y576" s="425"/>
      <c r="Z576" s="425"/>
      <c r="AA576" s="370" t="e">
        <f t="shared" ca="1" si="380"/>
        <v>#NAME?</v>
      </c>
      <c r="AB576" s="184"/>
      <c r="AC576" s="185"/>
      <c r="AD576" s="185"/>
      <c r="AE576" s="178">
        <f t="shared" si="392"/>
        <v>41.411764705882355</v>
      </c>
      <c r="AF576" s="178">
        <f>P576/O576*100</f>
        <v>0</v>
      </c>
      <c r="AG576" s="178"/>
      <c r="AH576" s="178"/>
      <c r="AI576" s="184"/>
      <c r="AJ576" s="425"/>
      <c r="AK576" s="171">
        <f t="shared" si="373"/>
        <v>0</v>
      </c>
      <c r="AL576" s="171"/>
      <c r="AM576" s="171"/>
      <c r="AN576" s="139"/>
      <c r="AO576" s="193"/>
      <c r="AP576" s="193" t="e">
        <f t="shared" ca="1" si="379"/>
        <v>#NAME?</v>
      </c>
      <c r="AQ576" s="200"/>
      <c r="AR576" s="204">
        <f>V576/R576*100</f>
        <v>0</v>
      </c>
      <c r="AS576" s="204"/>
      <c r="AT576" s="204">
        <f>W576/R576*100</f>
        <v>0</v>
      </c>
      <c r="AU576" s="204"/>
      <c r="AV576" s="204">
        <f>AQ576/R576*100</f>
        <v>0</v>
      </c>
    </row>
    <row r="577" spans="1:48" ht="12" customHeight="1">
      <c r="A577" s="24"/>
      <c r="B577" s="24"/>
      <c r="C577" s="24"/>
      <c r="D577" s="24"/>
      <c r="E577" s="24"/>
      <c r="F577" s="24"/>
      <c r="G577" s="24"/>
      <c r="H577" s="393"/>
      <c r="I577" s="404"/>
      <c r="J577" s="281">
        <v>4</v>
      </c>
      <c r="K577" s="2" t="s">
        <v>463</v>
      </c>
      <c r="L577" s="112">
        <f t="shared" ref="L577:AD578" si="393">L578</f>
        <v>986635</v>
      </c>
      <c r="M577" s="112">
        <f t="shared" si="393"/>
        <v>130948.96808016457</v>
      </c>
      <c r="N577" s="113">
        <f t="shared" si="393"/>
        <v>20733</v>
      </c>
      <c r="O577" s="113">
        <f t="shared" si="393"/>
        <v>2751.741986860442</v>
      </c>
      <c r="P577" s="114">
        <f t="shared" si="393"/>
        <v>61000</v>
      </c>
      <c r="Q577" s="114">
        <f t="shared" si="393"/>
        <v>40000</v>
      </c>
      <c r="R577" s="88">
        <f t="shared" si="393"/>
        <v>35981</v>
      </c>
      <c r="S577" s="90" t="e">
        <f t="shared" ca="1" si="393"/>
        <v>#NAME?</v>
      </c>
      <c r="T577" s="90"/>
      <c r="U577" s="90"/>
      <c r="V577" s="200">
        <f>V578</f>
        <v>65000</v>
      </c>
      <c r="W577" s="200">
        <f t="shared" si="393"/>
        <v>65000</v>
      </c>
      <c r="X577" s="88">
        <f t="shared" si="393"/>
        <v>170000</v>
      </c>
      <c r="Y577" s="171">
        <f t="shared" si="393"/>
        <v>225000</v>
      </c>
      <c r="Z577" s="171">
        <f t="shared" si="393"/>
        <v>0</v>
      </c>
      <c r="AA577" s="370" t="e">
        <f t="shared" ca="1" si="380"/>
        <v>#NAME?</v>
      </c>
      <c r="AB577" s="171"/>
      <c r="AC577" s="172">
        <f t="shared" si="393"/>
        <v>25000</v>
      </c>
      <c r="AD577" s="172">
        <f t="shared" si="393"/>
        <v>25000</v>
      </c>
      <c r="AE577" s="178">
        <f t="shared" si="392"/>
        <v>2.1013850106675722</v>
      </c>
      <c r="AF577" s="178"/>
      <c r="AG577" s="178">
        <f>Q577/P577*100</f>
        <v>65.573770491803273</v>
      </c>
      <c r="AH577" s="178">
        <f>AC577/Q577*100</f>
        <v>62.5</v>
      </c>
      <c r="AI577" s="171"/>
      <c r="AJ577" s="171">
        <v>225000</v>
      </c>
      <c r="AK577" s="171">
        <f t="shared" si="373"/>
        <v>180.65089908562854</v>
      </c>
      <c r="AL577" s="171">
        <f t="shared" si="374"/>
        <v>261.53846153846155</v>
      </c>
      <c r="AM577" s="171">
        <f>Y577/X577*100</f>
        <v>132.35294117647058</v>
      </c>
      <c r="AN577" s="90"/>
      <c r="AO577" s="193"/>
      <c r="AP577" s="193" t="e">
        <f t="shared" ca="1" si="379"/>
        <v>#NAME?</v>
      </c>
      <c r="AQ577" s="200">
        <f>AQ578</f>
        <v>65155.360000000001</v>
      </c>
      <c r="AR577" s="204">
        <f>V577/R577*100</f>
        <v>180.65089908562854</v>
      </c>
      <c r="AS577" s="204">
        <f>W577/V577*100</f>
        <v>100</v>
      </c>
      <c r="AT577" s="204">
        <f>W577/R577*100</f>
        <v>180.65089908562854</v>
      </c>
      <c r="AU577" s="204">
        <f>AQ577/W577*100</f>
        <v>100.2390153846154</v>
      </c>
      <c r="AV577" s="204">
        <f>AQ577/R577*100</f>
        <v>181.08268252688919</v>
      </c>
    </row>
    <row r="578" spans="1:48" ht="12" customHeight="1">
      <c r="A578" s="301"/>
      <c r="B578" s="301"/>
      <c r="C578" s="301"/>
      <c r="D578" s="301"/>
      <c r="E578" s="301"/>
      <c r="F578" s="301"/>
      <c r="G578" s="301"/>
      <c r="H578" s="307"/>
      <c r="I578" s="405"/>
      <c r="J578" s="302">
        <v>42</v>
      </c>
      <c r="K578" s="343" t="s">
        <v>514</v>
      </c>
      <c r="L578" s="112">
        <f t="shared" si="393"/>
        <v>986635</v>
      </c>
      <c r="M578" s="112">
        <f t="shared" si="393"/>
        <v>130948.96808016457</v>
      </c>
      <c r="N578" s="113">
        <f t="shared" si="393"/>
        <v>20733</v>
      </c>
      <c r="O578" s="113">
        <f t="shared" si="393"/>
        <v>2751.741986860442</v>
      </c>
      <c r="P578" s="114">
        <f t="shared" si="393"/>
        <v>61000</v>
      </c>
      <c r="Q578" s="114">
        <f t="shared" si="393"/>
        <v>40000</v>
      </c>
      <c r="R578" s="88">
        <f t="shared" si="393"/>
        <v>35981</v>
      </c>
      <c r="S578" s="90" t="e">
        <f t="shared" ca="1" si="393"/>
        <v>#NAME?</v>
      </c>
      <c r="T578" s="90"/>
      <c r="U578" s="90"/>
      <c r="V578" s="200">
        <f>V579</f>
        <v>65000</v>
      </c>
      <c r="W578" s="200">
        <f t="shared" si="393"/>
        <v>65000</v>
      </c>
      <c r="X578" s="88">
        <f t="shared" si="393"/>
        <v>170000</v>
      </c>
      <c r="Y578" s="171">
        <f t="shared" si="393"/>
        <v>225000</v>
      </c>
      <c r="Z578" s="171">
        <f t="shared" si="393"/>
        <v>0</v>
      </c>
      <c r="AA578" s="370" t="e">
        <f t="shared" ca="1" si="380"/>
        <v>#NAME?</v>
      </c>
      <c r="AB578" s="171"/>
      <c r="AC578" s="172">
        <f t="shared" si="393"/>
        <v>25000</v>
      </c>
      <c r="AD578" s="172">
        <f t="shared" si="393"/>
        <v>25000</v>
      </c>
      <c r="AE578" s="178">
        <f t="shared" si="392"/>
        <v>2.1013850106675722</v>
      </c>
      <c r="AF578" s="178"/>
      <c r="AG578" s="178">
        <f>Q578/P578*100</f>
        <v>65.573770491803273</v>
      </c>
      <c r="AH578" s="178">
        <f>AC578/Q578*100</f>
        <v>62.5</v>
      </c>
      <c r="AI578" s="171"/>
      <c r="AJ578" s="171">
        <v>225000</v>
      </c>
      <c r="AK578" s="171">
        <f t="shared" si="373"/>
        <v>180.65089908562854</v>
      </c>
      <c r="AL578" s="171">
        <f t="shared" si="374"/>
        <v>261.53846153846155</v>
      </c>
      <c r="AM578" s="171">
        <f>Y578/X578*100</f>
        <v>132.35294117647058</v>
      </c>
      <c r="AN578" s="90"/>
      <c r="AO578" s="193"/>
      <c r="AP578" s="193" t="e">
        <f t="shared" ca="1" si="379"/>
        <v>#NAME?</v>
      </c>
      <c r="AQ578" s="200">
        <f>AQ579</f>
        <v>65155.360000000001</v>
      </c>
      <c r="AR578" s="204">
        <f>V578/R578*100</f>
        <v>180.65089908562854</v>
      </c>
      <c r="AS578" s="204">
        <f>W578/V578*100</f>
        <v>100</v>
      </c>
      <c r="AT578" s="204">
        <f>W578/R578*100</f>
        <v>180.65089908562854</v>
      </c>
      <c r="AU578" s="204">
        <f>AQ578/W578*100</f>
        <v>100.2390153846154</v>
      </c>
      <c r="AV578" s="204">
        <f>AQ578/R578*100</f>
        <v>181.08268252688919</v>
      </c>
    </row>
    <row r="579" spans="1:48" ht="12" customHeight="1">
      <c r="A579" s="62"/>
      <c r="B579" s="62"/>
      <c r="C579" s="62"/>
      <c r="D579" s="62"/>
      <c r="E579" s="62"/>
      <c r="F579" s="62"/>
      <c r="G579" s="62"/>
      <c r="H579" s="304"/>
      <c r="I579" s="346"/>
      <c r="J579" s="303">
        <v>421</v>
      </c>
      <c r="K579" s="19" t="s">
        <v>465</v>
      </c>
      <c r="L579" s="112">
        <f t="shared" ref="L579:S579" si="394">L580+L581+L582+L583+L584</f>
        <v>986635</v>
      </c>
      <c r="M579" s="112">
        <f t="shared" si="394"/>
        <v>130948.96808016457</v>
      </c>
      <c r="N579" s="113">
        <f t="shared" si="394"/>
        <v>20733</v>
      </c>
      <c r="O579" s="113">
        <f t="shared" si="394"/>
        <v>2751.741986860442</v>
      </c>
      <c r="P579" s="114">
        <f t="shared" si="394"/>
        <v>61000</v>
      </c>
      <c r="Q579" s="114">
        <f t="shared" si="394"/>
        <v>40000</v>
      </c>
      <c r="R579" s="88">
        <f t="shared" si="394"/>
        <v>35981</v>
      </c>
      <c r="S579" s="90" t="e">
        <f t="shared" ca="1" si="394"/>
        <v>#NAME?</v>
      </c>
      <c r="T579" s="90"/>
      <c r="U579" s="90"/>
      <c r="V579" s="200">
        <f>V580+V581+V582+V583+V584</f>
        <v>65000</v>
      </c>
      <c r="W579" s="200">
        <f>W580+W581+W582+W583+W584</f>
        <v>65000</v>
      </c>
      <c r="X579" s="88">
        <f>X580+X581+X582+X583+X584</f>
        <v>170000</v>
      </c>
      <c r="Y579" s="171">
        <f>Y580+Y581+Y582+Y583+Y584</f>
        <v>225000</v>
      </c>
      <c r="Z579" s="171">
        <f>Z580+Z581+Z582+Z583+Z584</f>
        <v>0</v>
      </c>
      <c r="AA579" s="370" t="e">
        <f t="shared" ca="1" si="380"/>
        <v>#NAME?</v>
      </c>
      <c r="AB579" s="171"/>
      <c r="AC579" s="172">
        <f>AC580+AC581+AC582+AC583+AC584</f>
        <v>25000</v>
      </c>
      <c r="AD579" s="172">
        <f>AD580+AD581+AD582+AD583+AD584</f>
        <v>25000</v>
      </c>
      <c r="AE579" s="178">
        <f t="shared" si="392"/>
        <v>2.1013850106675722</v>
      </c>
      <c r="AF579" s="178"/>
      <c r="AG579" s="178">
        <f>Q579/P579*100</f>
        <v>65.573770491803273</v>
      </c>
      <c r="AH579" s="178">
        <f>AC579/Q579*100</f>
        <v>62.5</v>
      </c>
      <c r="AI579" s="171"/>
      <c r="AJ579" s="171">
        <v>225000</v>
      </c>
      <c r="AK579" s="171">
        <f t="shared" si="373"/>
        <v>180.65089908562854</v>
      </c>
      <c r="AL579" s="171">
        <f t="shared" si="374"/>
        <v>261.53846153846155</v>
      </c>
      <c r="AM579" s="171">
        <f>Y579/X579*100</f>
        <v>132.35294117647058</v>
      </c>
      <c r="AN579" s="90"/>
      <c r="AO579" s="193"/>
      <c r="AP579" s="193" t="e">
        <f t="shared" ca="1" si="379"/>
        <v>#NAME?</v>
      </c>
      <c r="AQ579" s="200">
        <f>AQ580+AQ581+AQ582+AQ583+AQ584</f>
        <v>65155.360000000001</v>
      </c>
      <c r="AR579" s="204">
        <f>V579/R579*100</f>
        <v>180.65089908562854</v>
      </c>
      <c r="AS579" s="204">
        <f>W579/V579*100</f>
        <v>100</v>
      </c>
      <c r="AT579" s="204">
        <f>W579/R579*100</f>
        <v>180.65089908562854</v>
      </c>
      <c r="AU579" s="204">
        <f>AQ579/W579*100</f>
        <v>100.2390153846154</v>
      </c>
      <c r="AV579" s="204">
        <f>AQ579/R579*100</f>
        <v>181.08268252688919</v>
      </c>
    </row>
    <row r="580" spans="1:48" ht="12" customHeight="1">
      <c r="A580" s="53"/>
      <c r="B580" s="53"/>
      <c r="C580" s="53"/>
      <c r="D580" s="53"/>
      <c r="E580" s="53"/>
      <c r="F580" s="53"/>
      <c r="G580" s="53"/>
      <c r="H580" s="1" t="s">
        <v>515</v>
      </c>
      <c r="I580" s="345">
        <v>451</v>
      </c>
      <c r="J580" s="229">
        <v>4213</v>
      </c>
      <c r="K580" s="18" t="s">
        <v>516</v>
      </c>
      <c r="L580" s="130">
        <v>322407</v>
      </c>
      <c r="M580" s="130">
        <f>322407/7.5345</f>
        <v>42790.762492534341</v>
      </c>
      <c r="N580" s="131">
        <v>0</v>
      </c>
      <c r="O580" s="131">
        <f>N580/7.5345</f>
        <v>0</v>
      </c>
      <c r="P580" s="132">
        <v>10000</v>
      </c>
      <c r="Q580" s="163">
        <v>0</v>
      </c>
      <c r="R580" s="159">
        <v>0</v>
      </c>
      <c r="S580" s="165" t="e">
        <f ca="1">__xlfn.XLOOKUP(H580,[1]Izvršenje_proračuna_po_pozicija!$B$2:$B$153,[1]Izvršenje_proračuna_po_pozicija!$E$2:$E$153,0)</f>
        <v>#NAME?</v>
      </c>
      <c r="T580" s="165"/>
      <c r="U580" s="165"/>
      <c r="V580" s="200">
        <v>40000</v>
      </c>
      <c r="W580" s="200">
        <v>40000</v>
      </c>
      <c r="X580" s="164">
        <v>20000</v>
      </c>
      <c r="Y580" s="378">
        <v>25000</v>
      </c>
      <c r="Z580" s="378"/>
      <c r="AA580" s="370" t="e">
        <f t="shared" ca="1" si="380"/>
        <v>#NAME?</v>
      </c>
      <c r="AB580" s="183"/>
      <c r="AC580" s="178">
        <v>10000</v>
      </c>
      <c r="AD580" s="178">
        <v>10000</v>
      </c>
      <c r="AE580" s="178">
        <f t="shared" si="392"/>
        <v>0</v>
      </c>
      <c r="AF580" s="178"/>
      <c r="AG580" s="178">
        <f>Q580/P580*100</f>
        <v>0</v>
      </c>
      <c r="AH580" s="178"/>
      <c r="AI580" s="183"/>
      <c r="AJ580" s="378">
        <v>25000</v>
      </c>
      <c r="AK580" s="171"/>
      <c r="AL580" s="171">
        <f t="shared" si="374"/>
        <v>50</v>
      </c>
      <c r="AM580" s="171">
        <f>Y580/X580*100</f>
        <v>125</v>
      </c>
      <c r="AN580" s="165"/>
      <c r="AO580" s="193"/>
      <c r="AP580" s="193" t="e">
        <f t="shared" ca="1" si="379"/>
        <v>#NAME?</v>
      </c>
      <c r="AQ580" s="200">
        <v>49581.61</v>
      </c>
      <c r="AR580" s="204"/>
      <c r="AS580" s="204">
        <f>W580/V580*100</f>
        <v>100</v>
      </c>
      <c r="AT580" s="204"/>
      <c r="AU580" s="204">
        <f>AQ580/W580*100</f>
        <v>123.95402500000002</v>
      </c>
      <c r="AV580" s="204"/>
    </row>
    <row r="581" spans="1:48" ht="12" customHeight="1">
      <c r="A581" s="305"/>
      <c r="B581" s="305"/>
      <c r="C581" s="305"/>
      <c r="D581" s="305"/>
      <c r="E581" s="305"/>
      <c r="F581" s="305"/>
      <c r="G581" s="305"/>
      <c r="H581" s="306" t="s">
        <v>517</v>
      </c>
      <c r="I581" s="345">
        <v>451</v>
      </c>
      <c r="J581" s="229">
        <v>4213</v>
      </c>
      <c r="K581" s="229" t="s">
        <v>513</v>
      </c>
      <c r="L581" s="137"/>
      <c r="M581" s="137"/>
      <c r="N581" s="138"/>
      <c r="O581" s="131">
        <f>N581/7.5345</f>
        <v>0</v>
      </c>
      <c r="P581" s="139"/>
      <c r="Q581" s="139"/>
      <c r="R581" s="137"/>
      <c r="S581" s="165" t="e">
        <f ca="1">__xlfn.XLOOKUP(H581,[1]Izvršenje_proračuna_po_pozicija!$B$2:$B$153,[1]Izvršenje_proračuna_po_pozicija!$E$2:$E$153,0)</f>
        <v>#NAME?</v>
      </c>
      <c r="T581" s="165"/>
      <c r="U581" s="165"/>
      <c r="V581" s="200"/>
      <c r="W581" s="200"/>
      <c r="X581" s="166"/>
      <c r="Y581" s="425"/>
      <c r="Z581" s="425"/>
      <c r="AA581" s="370" t="e">
        <f t="shared" ca="1" si="380"/>
        <v>#NAME?</v>
      </c>
      <c r="AB581" s="184"/>
      <c r="AC581" s="185"/>
      <c r="AD581" s="185"/>
      <c r="AE581" s="178"/>
      <c r="AF581" s="178"/>
      <c r="AG581" s="178"/>
      <c r="AH581" s="178"/>
      <c r="AI581" s="184"/>
      <c r="AJ581" s="425"/>
      <c r="AK581" s="171"/>
      <c r="AL581" s="171"/>
      <c r="AM581" s="171"/>
      <c r="AN581" s="139"/>
      <c r="AO581" s="193"/>
      <c r="AP581" s="193" t="e">
        <f t="shared" ca="1" si="379"/>
        <v>#NAME?</v>
      </c>
      <c r="AQ581" s="200"/>
      <c r="AR581" s="204"/>
      <c r="AS581" s="204"/>
      <c r="AT581" s="204"/>
      <c r="AU581" s="204"/>
      <c r="AV581" s="204"/>
    </row>
    <row r="582" spans="1:48" ht="12" customHeight="1">
      <c r="A582" s="53"/>
      <c r="B582" s="53"/>
      <c r="C582" s="53"/>
      <c r="D582" s="53"/>
      <c r="E582" s="53"/>
      <c r="F582" s="53"/>
      <c r="G582" s="53"/>
      <c r="H582" s="1" t="s">
        <v>518</v>
      </c>
      <c r="I582" s="345">
        <v>451</v>
      </c>
      <c r="J582" s="229">
        <v>4214</v>
      </c>
      <c r="K582" s="18" t="s">
        <v>519</v>
      </c>
      <c r="L582" s="130">
        <v>0</v>
      </c>
      <c r="M582" s="130">
        <v>0</v>
      </c>
      <c r="N582" s="131">
        <v>0</v>
      </c>
      <c r="O582" s="131">
        <f>N582/7.5345</f>
        <v>0</v>
      </c>
      <c r="P582" s="132">
        <v>0</v>
      </c>
      <c r="Q582" s="132">
        <v>0</v>
      </c>
      <c r="R582" s="159">
        <v>0</v>
      </c>
      <c r="S582" s="165" t="e">
        <f ca="1">__xlfn.XLOOKUP(H582,[1]Izvršenje_proračuna_po_pozicija!$B$2:$B$153,[1]Izvršenje_proračuna_po_pozicija!$E$2:$E$153,0)</f>
        <v>#NAME?</v>
      </c>
      <c r="T582" s="165"/>
      <c r="U582" s="165"/>
      <c r="V582" s="200"/>
      <c r="W582" s="200"/>
      <c r="X582" s="164"/>
      <c r="Y582" s="378"/>
      <c r="Z582" s="378"/>
      <c r="AA582" s="370" t="e">
        <f t="shared" ca="1" si="380"/>
        <v>#NAME?</v>
      </c>
      <c r="AB582" s="183"/>
      <c r="AC582" s="178">
        <v>0</v>
      </c>
      <c r="AD582" s="178">
        <v>0</v>
      </c>
      <c r="AE582" s="178"/>
      <c r="AF582" s="178"/>
      <c r="AG582" s="178"/>
      <c r="AH582" s="178"/>
      <c r="AI582" s="183"/>
      <c r="AJ582" s="378"/>
      <c r="AK582" s="171"/>
      <c r="AL582" s="171"/>
      <c r="AM582" s="171"/>
      <c r="AN582" s="165"/>
      <c r="AO582" s="193"/>
      <c r="AP582" s="193" t="e">
        <f t="shared" ca="1" si="379"/>
        <v>#NAME?</v>
      </c>
      <c r="AQ582" s="200"/>
      <c r="AR582" s="204"/>
      <c r="AS582" s="204"/>
      <c r="AT582" s="204"/>
      <c r="AU582" s="204"/>
      <c r="AV582" s="204"/>
    </row>
    <row r="583" spans="1:48" ht="12" customHeight="1">
      <c r="A583" s="53"/>
      <c r="B583" s="53"/>
      <c r="C583" s="53"/>
      <c r="D583" s="53"/>
      <c r="E583" s="53"/>
      <c r="F583" s="53"/>
      <c r="G583" s="53"/>
      <c r="H583" s="1" t="s">
        <v>520</v>
      </c>
      <c r="I583" s="345">
        <v>451</v>
      </c>
      <c r="J583" s="229">
        <v>4214</v>
      </c>
      <c r="K583" s="18" t="s">
        <v>521</v>
      </c>
      <c r="L583" s="130">
        <v>0</v>
      </c>
      <c r="M583" s="130">
        <v>0</v>
      </c>
      <c r="N583" s="131">
        <v>0</v>
      </c>
      <c r="O583" s="131">
        <f>N583/7.5345</f>
        <v>0</v>
      </c>
      <c r="P583" s="132">
        <v>51000</v>
      </c>
      <c r="Q583" s="163">
        <v>40000</v>
      </c>
      <c r="R583" s="159">
        <v>35660</v>
      </c>
      <c r="S583" s="165" t="e">
        <f ca="1">__xlfn.XLOOKUP(H583,[1]Izvršenje_proračuna_po_pozicija!$B$2:$B$153,[1]Izvršenje_proračuna_po_pozicija!$E$2:$E$153,0)</f>
        <v>#NAME?</v>
      </c>
      <c r="T583" s="165"/>
      <c r="U583" s="165"/>
      <c r="V583" s="200">
        <v>25000</v>
      </c>
      <c r="W583" s="200">
        <v>25000</v>
      </c>
      <c r="X583" s="164">
        <v>150000</v>
      </c>
      <c r="Y583" s="378">
        <v>200000</v>
      </c>
      <c r="Z583" s="378"/>
      <c r="AA583" s="370" t="e">
        <f t="shared" ca="1" si="380"/>
        <v>#NAME?</v>
      </c>
      <c r="AB583" s="183"/>
      <c r="AC583" s="178">
        <v>15000</v>
      </c>
      <c r="AD583" s="178">
        <v>15000</v>
      </c>
      <c r="AE583" s="178"/>
      <c r="AF583" s="178"/>
      <c r="AG583" s="178"/>
      <c r="AH583" s="178"/>
      <c r="AI583" s="183"/>
      <c r="AJ583" s="378">
        <v>200000</v>
      </c>
      <c r="AK583" s="171">
        <f t="shared" si="373"/>
        <v>70.106561974200787</v>
      </c>
      <c r="AL583" s="171">
        <f t="shared" si="374"/>
        <v>600</v>
      </c>
      <c r="AM583" s="171">
        <f>Y583/X583*100</f>
        <v>133.33333333333331</v>
      </c>
      <c r="AN583" s="165"/>
      <c r="AO583" s="193"/>
      <c r="AP583" s="193" t="e">
        <f t="shared" ca="1" si="379"/>
        <v>#NAME?</v>
      </c>
      <c r="AQ583" s="200">
        <v>15573.75</v>
      </c>
      <c r="AR583" s="204">
        <f>V583/R583*100</f>
        <v>70.106561974200787</v>
      </c>
      <c r="AS583" s="204">
        <f>W583/V583*100</f>
        <v>100</v>
      </c>
      <c r="AT583" s="204">
        <f>W583/R583*100</f>
        <v>70.106561974200787</v>
      </c>
      <c r="AU583" s="204">
        <f>AQ583/W583*100</f>
        <v>62.295000000000002</v>
      </c>
      <c r="AV583" s="204">
        <f>AQ583/R583*100</f>
        <v>43.672882781828385</v>
      </c>
    </row>
    <row r="584" spans="1:48" ht="12" customHeight="1">
      <c r="A584" s="53"/>
      <c r="B584" s="53"/>
      <c r="C584" s="53"/>
      <c r="D584" s="53"/>
      <c r="E584" s="53"/>
      <c r="F584" s="53"/>
      <c r="G584" s="53"/>
      <c r="H584" s="1" t="s">
        <v>522</v>
      </c>
      <c r="I584" s="345">
        <v>451</v>
      </c>
      <c r="J584" s="229">
        <v>4214</v>
      </c>
      <c r="K584" s="18" t="s">
        <v>523</v>
      </c>
      <c r="L584" s="130">
        <v>664228</v>
      </c>
      <c r="M584" s="130">
        <f>664228/7.5345</f>
        <v>88158.205587630233</v>
      </c>
      <c r="N584" s="131">
        <v>20733</v>
      </c>
      <c r="O584" s="131">
        <f>N584/7.5345</f>
        <v>2751.741986860442</v>
      </c>
      <c r="P584" s="132">
        <v>0</v>
      </c>
      <c r="Q584" s="132">
        <v>0</v>
      </c>
      <c r="R584" s="159">
        <v>321</v>
      </c>
      <c r="S584" s="165" t="e">
        <f ca="1">__xlfn.XLOOKUP(H584,[1]Izvršenje_proračuna_po_pozicija!$B$2:$B$153,[1]Izvršenje_proračuna_po_pozicija!$E$2:$E$153,0)</f>
        <v>#NAME?</v>
      </c>
      <c r="T584" s="165"/>
      <c r="U584" s="165"/>
      <c r="V584" s="200"/>
      <c r="W584" s="200"/>
      <c r="X584" s="164"/>
      <c r="Y584" s="378"/>
      <c r="Z584" s="378"/>
      <c r="AA584" s="370" t="e">
        <f t="shared" ca="1" si="380"/>
        <v>#NAME?</v>
      </c>
      <c r="AB584" s="183"/>
      <c r="AC584" s="178"/>
      <c r="AD584" s="178"/>
      <c r="AE584" s="178">
        <f>O584/M584*100</f>
        <v>3.1213679640123573</v>
      </c>
      <c r="AF584" s="178"/>
      <c r="AG584" s="178"/>
      <c r="AH584" s="178"/>
      <c r="AI584" s="183"/>
      <c r="AJ584" s="378"/>
      <c r="AK584" s="171">
        <f t="shared" si="373"/>
        <v>0</v>
      </c>
      <c r="AL584" s="171"/>
      <c r="AM584" s="171"/>
      <c r="AN584" s="165"/>
      <c r="AO584" s="193"/>
      <c r="AP584" s="193" t="e">
        <f t="shared" ca="1" si="379"/>
        <v>#NAME?</v>
      </c>
      <c r="AQ584" s="200"/>
      <c r="AR584" s="204">
        <f>V584/R584*100</f>
        <v>0</v>
      </c>
      <c r="AS584" s="204"/>
      <c r="AT584" s="204">
        <f>W584/R584*100</f>
        <v>0</v>
      </c>
      <c r="AU584" s="204"/>
      <c r="AV584" s="204">
        <f>AQ584/R584*100</f>
        <v>0</v>
      </c>
    </row>
    <row r="585" spans="1:48" ht="12" customHeight="1">
      <c r="A585" s="53"/>
      <c r="B585" s="53"/>
      <c r="C585" s="53"/>
      <c r="D585" s="53"/>
      <c r="E585" s="53"/>
      <c r="F585" s="53"/>
      <c r="G585" s="53"/>
      <c r="H585" s="1"/>
      <c r="I585" s="345"/>
      <c r="J585" s="229"/>
      <c r="K585" s="18"/>
      <c r="L585" s="130"/>
      <c r="M585" s="130"/>
      <c r="N585" s="131"/>
      <c r="O585" s="131"/>
      <c r="P585" s="132"/>
      <c r="Q585" s="132"/>
      <c r="R585" s="159"/>
      <c r="S585" s="165" t="e">
        <f ca="1">__xlfn.XLOOKUP(H585,[1]Izvršenje_proračuna_po_pozicija!$B$2:$B$153,[1]Izvršenje_proračuna_po_pozicija!$E$2:$E$153,0)</f>
        <v>#NAME?</v>
      </c>
      <c r="T585" s="165"/>
      <c r="U585" s="165"/>
      <c r="V585" s="200"/>
      <c r="W585" s="200"/>
      <c r="X585" s="164"/>
      <c r="Y585" s="378"/>
      <c r="Z585" s="378"/>
      <c r="AA585" s="370" t="e">
        <f t="shared" ca="1" si="380"/>
        <v>#NAME?</v>
      </c>
      <c r="AB585" s="183"/>
      <c r="AC585" s="178"/>
      <c r="AD585" s="178"/>
      <c r="AE585" s="178"/>
      <c r="AF585" s="178"/>
      <c r="AG585" s="178"/>
      <c r="AH585" s="178"/>
      <c r="AI585" s="183"/>
      <c r="AJ585" s="378"/>
      <c r="AK585" s="171"/>
      <c r="AL585" s="171"/>
      <c r="AM585" s="171"/>
      <c r="AN585" s="165"/>
      <c r="AO585" s="193"/>
      <c r="AP585" s="193" t="e">
        <f t="shared" ca="1" si="379"/>
        <v>#NAME?</v>
      </c>
      <c r="AQ585" s="200"/>
      <c r="AR585" s="204"/>
      <c r="AS585" s="204"/>
      <c r="AT585" s="204"/>
      <c r="AU585" s="204"/>
      <c r="AV585" s="204"/>
    </row>
    <row r="586" spans="1:48" ht="12" customHeight="1">
      <c r="A586" s="390" t="s">
        <v>426</v>
      </c>
      <c r="B586" s="391"/>
      <c r="C586" s="391"/>
      <c r="D586" s="391"/>
      <c r="E586" s="391"/>
      <c r="F586" s="391"/>
      <c r="G586" s="391"/>
      <c r="H586" s="392"/>
      <c r="I586" s="453" t="s">
        <v>524</v>
      </c>
      <c r="J586" s="454"/>
      <c r="K586" s="124"/>
      <c r="L586" s="112">
        <f t="shared" ref="L586:S586" si="395">L588+L594</f>
        <v>0</v>
      </c>
      <c r="M586" s="112">
        <f t="shared" si="395"/>
        <v>0</v>
      </c>
      <c r="N586" s="113">
        <f t="shared" si="395"/>
        <v>130000</v>
      </c>
      <c r="O586" s="113">
        <f t="shared" si="395"/>
        <v>17253.965093901385</v>
      </c>
      <c r="P586" s="114">
        <f t="shared" si="395"/>
        <v>45000</v>
      </c>
      <c r="Q586" s="114">
        <f t="shared" si="395"/>
        <v>40000</v>
      </c>
      <c r="R586" s="88">
        <f t="shared" si="395"/>
        <v>40000</v>
      </c>
      <c r="S586" s="90" t="e">
        <f t="shared" ca="1" si="395"/>
        <v>#NAME?</v>
      </c>
      <c r="T586" s="90"/>
      <c r="U586" s="90"/>
      <c r="V586" s="200">
        <f>V588+V594</f>
        <v>50000</v>
      </c>
      <c r="W586" s="200">
        <f>W588+W594</f>
        <v>50000</v>
      </c>
      <c r="X586" s="88">
        <f>X588+X594</f>
        <v>200000</v>
      </c>
      <c r="Y586" s="171">
        <f>Y588+Y594</f>
        <v>250000</v>
      </c>
      <c r="Z586" s="171">
        <f>Z588+Z594</f>
        <v>0</v>
      </c>
      <c r="AA586" s="370" t="e">
        <f t="shared" ca="1" si="380"/>
        <v>#NAME?</v>
      </c>
      <c r="AB586" s="171"/>
      <c r="AC586" s="172">
        <f>AC588+AC594</f>
        <v>45000</v>
      </c>
      <c r="AD586" s="172">
        <f>AD588+AD594</f>
        <v>45000</v>
      </c>
      <c r="AE586" s="178"/>
      <c r="AF586" s="178">
        <f>P586/O586*100</f>
        <v>260.80961538461543</v>
      </c>
      <c r="AG586" s="178">
        <f>Q586/P586*100</f>
        <v>88.888888888888886</v>
      </c>
      <c r="AH586" s="178">
        <f>AC586/Q586*100</f>
        <v>112.5</v>
      </c>
      <c r="AI586" s="171"/>
      <c r="AJ586" s="171">
        <v>250000</v>
      </c>
      <c r="AK586" s="171">
        <f t="shared" si="373"/>
        <v>125</v>
      </c>
      <c r="AL586" s="171">
        <f t="shared" si="374"/>
        <v>400</v>
      </c>
      <c r="AM586" s="171">
        <f>Y586/X586*100</f>
        <v>125</v>
      </c>
      <c r="AN586" s="90"/>
      <c r="AO586" s="193"/>
      <c r="AP586" s="193" t="e">
        <f t="shared" ca="1" si="379"/>
        <v>#NAME?</v>
      </c>
      <c r="AQ586" s="200">
        <f>AQ588+AQ594</f>
        <v>30000</v>
      </c>
      <c r="AR586" s="204">
        <f>V586/R586*100</f>
        <v>125</v>
      </c>
      <c r="AS586" s="204">
        <f>W586/V586*100</f>
        <v>100</v>
      </c>
      <c r="AT586" s="204">
        <f>W586/R586*100</f>
        <v>125</v>
      </c>
      <c r="AU586" s="204">
        <f>AQ586/W586*100</f>
        <v>60</v>
      </c>
      <c r="AV586" s="204">
        <f>AQ586/R586*100</f>
        <v>75</v>
      </c>
    </row>
    <row r="587" spans="1:48" ht="12" customHeight="1">
      <c r="A587" s="42"/>
      <c r="B587" s="42"/>
      <c r="C587" s="42"/>
      <c r="D587" s="42"/>
      <c r="E587" s="42"/>
      <c r="F587" s="42"/>
      <c r="G587" s="42"/>
      <c r="H587" s="308"/>
      <c r="I587" s="14"/>
      <c r="J587" s="2"/>
      <c r="K587" s="84"/>
      <c r="L587" s="85">
        <v>1</v>
      </c>
      <c r="M587" s="85">
        <v>2</v>
      </c>
      <c r="N587" s="86">
        <v>3</v>
      </c>
      <c r="O587" s="86">
        <v>4</v>
      </c>
      <c r="P587" s="87">
        <v>5</v>
      </c>
      <c r="Q587" s="87">
        <v>6</v>
      </c>
      <c r="R587" s="160"/>
      <c r="S587" s="165" t="e">
        <f ca="1">__xlfn.XLOOKUP(H587,[1]Izvršenje_proračuna_po_pozicija!$B$2:$B$153,[1]Izvršenje_proračuna_po_pozicija!$E$2:$E$153,0)</f>
        <v>#NAME?</v>
      </c>
      <c r="T587" s="165"/>
      <c r="U587" s="165"/>
      <c r="V587" s="200"/>
      <c r="W587" s="200"/>
      <c r="X587" s="361"/>
      <c r="Y587" s="373"/>
      <c r="Z587" s="373"/>
      <c r="AA587" s="370" t="e">
        <f t="shared" ca="1" si="380"/>
        <v>#NAME?</v>
      </c>
      <c r="AB587" s="181"/>
      <c r="AC587" s="182">
        <v>7</v>
      </c>
      <c r="AD587" s="182">
        <v>8</v>
      </c>
      <c r="AE587" s="182">
        <v>9</v>
      </c>
      <c r="AF587" s="182">
        <v>10</v>
      </c>
      <c r="AG587" s="182">
        <v>11</v>
      </c>
      <c r="AH587" s="182">
        <v>12</v>
      </c>
      <c r="AI587" s="181"/>
      <c r="AJ587" s="373"/>
      <c r="AK587" s="171"/>
      <c r="AL587" s="171"/>
      <c r="AM587" s="171"/>
      <c r="AN587" s="161"/>
      <c r="AO587" s="193"/>
      <c r="AP587" s="193" t="e">
        <f t="shared" ca="1" si="379"/>
        <v>#NAME?</v>
      </c>
      <c r="AQ587" s="200"/>
      <c r="AR587" s="204"/>
      <c r="AS587" s="204"/>
      <c r="AT587" s="204"/>
      <c r="AU587" s="204"/>
      <c r="AV587" s="204"/>
    </row>
    <row r="588" spans="1:48" ht="12" customHeight="1">
      <c r="A588" s="24"/>
      <c r="B588" s="24"/>
      <c r="C588" s="24"/>
      <c r="D588" s="24"/>
      <c r="E588" s="24"/>
      <c r="F588" s="24"/>
      <c r="G588" s="24"/>
      <c r="H588" s="393"/>
      <c r="I588" s="404"/>
      <c r="J588" s="281">
        <v>3</v>
      </c>
      <c r="K588" s="2" t="s">
        <v>224</v>
      </c>
      <c r="L588" s="112">
        <f t="shared" ref="L588:S590" si="396">L589</f>
        <v>0</v>
      </c>
      <c r="M588" s="112">
        <f t="shared" si="396"/>
        <v>0</v>
      </c>
      <c r="N588" s="113">
        <f t="shared" si="396"/>
        <v>130000</v>
      </c>
      <c r="O588" s="113">
        <f t="shared" si="396"/>
        <v>17253.965093901385</v>
      </c>
      <c r="P588" s="114">
        <f t="shared" si="396"/>
        <v>40000</v>
      </c>
      <c r="Q588" s="114">
        <f t="shared" si="396"/>
        <v>40000</v>
      </c>
      <c r="R588" s="88">
        <f t="shared" si="396"/>
        <v>40000</v>
      </c>
      <c r="S588" s="90" t="e">
        <f t="shared" ca="1" si="396"/>
        <v>#NAME?</v>
      </c>
      <c r="T588" s="90"/>
      <c r="U588" s="90"/>
      <c r="V588" s="200">
        <f>V589</f>
        <v>50000</v>
      </c>
      <c r="W588" s="200">
        <f t="shared" ref="W588:Z590" si="397">W589</f>
        <v>50000</v>
      </c>
      <c r="X588" s="88">
        <f t="shared" si="397"/>
        <v>200000</v>
      </c>
      <c r="Y588" s="171">
        <f t="shared" si="397"/>
        <v>250000</v>
      </c>
      <c r="Z588" s="171">
        <f t="shared" si="397"/>
        <v>0</v>
      </c>
      <c r="AA588" s="370" t="e">
        <f t="shared" ca="1" si="380"/>
        <v>#NAME?</v>
      </c>
      <c r="AB588" s="171"/>
      <c r="AC588" s="172">
        <f t="shared" ref="AC588:AD590" si="398">AC589</f>
        <v>40000</v>
      </c>
      <c r="AD588" s="172">
        <f t="shared" si="398"/>
        <v>40000</v>
      </c>
      <c r="AE588" s="178"/>
      <c r="AF588" s="178">
        <f t="shared" ref="AF588:AG591" si="399">P588/O588*100</f>
        <v>231.83076923076928</v>
      </c>
      <c r="AG588" s="178">
        <f t="shared" si="399"/>
        <v>100</v>
      </c>
      <c r="AH588" s="178">
        <f>AC588/Q588*100</f>
        <v>100</v>
      </c>
      <c r="AI588" s="171"/>
      <c r="AJ588" s="171">
        <v>250000</v>
      </c>
      <c r="AK588" s="171">
        <f t="shared" si="373"/>
        <v>125</v>
      </c>
      <c r="AL588" s="171">
        <f t="shared" si="374"/>
        <v>400</v>
      </c>
      <c r="AM588" s="171">
        <f>Y588/X588*100</f>
        <v>125</v>
      </c>
      <c r="AN588" s="90"/>
      <c r="AO588" s="193"/>
      <c r="AP588" s="193" t="e">
        <f t="shared" ca="1" si="379"/>
        <v>#NAME?</v>
      </c>
      <c r="AQ588" s="200">
        <f>AQ589</f>
        <v>30000</v>
      </c>
      <c r="AR588" s="204">
        <f>V588/R588*100</f>
        <v>125</v>
      </c>
      <c r="AS588" s="204">
        <f>W588/V588*100</f>
        <v>100</v>
      </c>
      <c r="AT588" s="204">
        <f>W588/R588*100</f>
        <v>125</v>
      </c>
      <c r="AU588" s="204">
        <f>AQ588/W588*100</f>
        <v>60</v>
      </c>
      <c r="AV588" s="204">
        <f>AQ588/R588*100</f>
        <v>75</v>
      </c>
    </row>
    <row r="589" spans="1:48" ht="12" customHeight="1">
      <c r="A589" s="301"/>
      <c r="B589" s="301"/>
      <c r="C589" s="301"/>
      <c r="D589" s="301"/>
      <c r="E589" s="301"/>
      <c r="F589" s="301"/>
      <c r="G589" s="301"/>
      <c r="H589" s="307"/>
      <c r="I589" s="405"/>
      <c r="J589" s="302">
        <v>38</v>
      </c>
      <c r="K589" s="343" t="s">
        <v>285</v>
      </c>
      <c r="L589" s="112">
        <f t="shared" si="396"/>
        <v>0</v>
      </c>
      <c r="M589" s="112">
        <f t="shared" si="396"/>
        <v>0</v>
      </c>
      <c r="N589" s="113">
        <f t="shared" si="396"/>
        <v>130000</v>
      </c>
      <c r="O589" s="113">
        <f t="shared" si="396"/>
        <v>17253.965093901385</v>
      </c>
      <c r="P589" s="114">
        <f t="shared" si="396"/>
        <v>40000</v>
      </c>
      <c r="Q589" s="114">
        <f t="shared" si="396"/>
        <v>40000</v>
      </c>
      <c r="R589" s="88">
        <f t="shared" si="396"/>
        <v>40000</v>
      </c>
      <c r="S589" s="90" t="e">
        <f t="shared" ca="1" si="396"/>
        <v>#NAME?</v>
      </c>
      <c r="T589" s="90"/>
      <c r="U589" s="90"/>
      <c r="V589" s="200">
        <f>V590</f>
        <v>50000</v>
      </c>
      <c r="W589" s="200">
        <f t="shared" si="397"/>
        <v>50000</v>
      </c>
      <c r="X589" s="88">
        <f t="shared" si="397"/>
        <v>200000</v>
      </c>
      <c r="Y589" s="171">
        <f t="shared" si="397"/>
        <v>250000</v>
      </c>
      <c r="Z589" s="171">
        <f t="shared" si="397"/>
        <v>0</v>
      </c>
      <c r="AA589" s="370" t="e">
        <f t="shared" ca="1" si="380"/>
        <v>#NAME?</v>
      </c>
      <c r="AB589" s="171"/>
      <c r="AC589" s="172">
        <f t="shared" si="398"/>
        <v>40000</v>
      </c>
      <c r="AD589" s="172">
        <f t="shared" si="398"/>
        <v>40000</v>
      </c>
      <c r="AE589" s="178"/>
      <c r="AF589" s="178">
        <f t="shared" si="399"/>
        <v>231.83076923076928</v>
      </c>
      <c r="AG589" s="178">
        <f t="shared" si="399"/>
        <v>100</v>
      </c>
      <c r="AH589" s="178">
        <f>AC589/Q589*100</f>
        <v>100</v>
      </c>
      <c r="AI589" s="171"/>
      <c r="AJ589" s="171">
        <v>250000</v>
      </c>
      <c r="AK589" s="171">
        <f t="shared" si="373"/>
        <v>125</v>
      </c>
      <c r="AL589" s="171">
        <f t="shared" si="374"/>
        <v>400</v>
      </c>
      <c r="AM589" s="171">
        <f>Y589/X589*100</f>
        <v>125</v>
      </c>
      <c r="AN589" s="90"/>
      <c r="AO589" s="193"/>
      <c r="AP589" s="193" t="e">
        <f t="shared" ca="1" si="379"/>
        <v>#NAME?</v>
      </c>
      <c r="AQ589" s="200">
        <f>AQ590</f>
        <v>30000</v>
      </c>
      <c r="AR589" s="204">
        <f>V589/R589*100</f>
        <v>125</v>
      </c>
      <c r="AS589" s="204">
        <f>W589/V589*100</f>
        <v>100</v>
      </c>
      <c r="AT589" s="204">
        <f>W589/R589*100</f>
        <v>125</v>
      </c>
      <c r="AU589" s="204">
        <f>AQ589/W589*100</f>
        <v>60</v>
      </c>
      <c r="AV589" s="204">
        <f>AQ589/R589*100</f>
        <v>75</v>
      </c>
    </row>
    <row r="590" spans="1:48" ht="12" customHeight="1">
      <c r="A590" s="62"/>
      <c r="B590" s="62"/>
      <c r="C590" s="62"/>
      <c r="D590" s="62"/>
      <c r="E590" s="62"/>
      <c r="F590" s="62"/>
      <c r="G590" s="62"/>
      <c r="H590" s="304"/>
      <c r="I590" s="346"/>
      <c r="J590" s="303">
        <v>386</v>
      </c>
      <c r="K590" s="19" t="s">
        <v>505</v>
      </c>
      <c r="L590" s="112">
        <f t="shared" si="396"/>
        <v>0</v>
      </c>
      <c r="M590" s="112">
        <f t="shared" si="396"/>
        <v>0</v>
      </c>
      <c r="N590" s="113">
        <f t="shared" si="396"/>
        <v>130000</v>
      </c>
      <c r="O590" s="113">
        <f t="shared" si="396"/>
        <v>17253.965093901385</v>
      </c>
      <c r="P590" s="114">
        <f t="shared" si="396"/>
        <v>40000</v>
      </c>
      <c r="Q590" s="114">
        <f t="shared" si="396"/>
        <v>40000</v>
      </c>
      <c r="R590" s="88">
        <f t="shared" si="396"/>
        <v>40000</v>
      </c>
      <c r="S590" s="90" t="e">
        <f t="shared" ca="1" si="396"/>
        <v>#NAME?</v>
      </c>
      <c r="T590" s="90"/>
      <c r="U590" s="90"/>
      <c r="V590" s="200">
        <f>V591</f>
        <v>50000</v>
      </c>
      <c r="W590" s="200">
        <f t="shared" si="397"/>
        <v>50000</v>
      </c>
      <c r="X590" s="88">
        <f t="shared" si="397"/>
        <v>200000</v>
      </c>
      <c r="Y590" s="171">
        <f t="shared" si="397"/>
        <v>250000</v>
      </c>
      <c r="Z590" s="171">
        <f t="shared" si="397"/>
        <v>0</v>
      </c>
      <c r="AA590" s="370" t="e">
        <f t="shared" ca="1" si="380"/>
        <v>#NAME?</v>
      </c>
      <c r="AB590" s="171"/>
      <c r="AC590" s="172">
        <f t="shared" si="398"/>
        <v>40000</v>
      </c>
      <c r="AD590" s="172">
        <f t="shared" si="398"/>
        <v>40000</v>
      </c>
      <c r="AE590" s="178"/>
      <c r="AF590" s="178">
        <f t="shared" si="399"/>
        <v>231.83076923076928</v>
      </c>
      <c r="AG590" s="178">
        <f t="shared" si="399"/>
        <v>100</v>
      </c>
      <c r="AH590" s="178">
        <f>AC590/Q590*100</f>
        <v>100</v>
      </c>
      <c r="AI590" s="171"/>
      <c r="AJ590" s="171">
        <v>250000</v>
      </c>
      <c r="AK590" s="171">
        <f t="shared" si="373"/>
        <v>125</v>
      </c>
      <c r="AL590" s="171">
        <f t="shared" si="374"/>
        <v>400</v>
      </c>
      <c r="AM590" s="171">
        <f>Y590/X590*100</f>
        <v>125</v>
      </c>
      <c r="AN590" s="90"/>
      <c r="AO590" s="193"/>
      <c r="AP590" s="193" t="e">
        <f t="shared" ca="1" si="379"/>
        <v>#NAME?</v>
      </c>
      <c r="AQ590" s="200">
        <f>AQ591</f>
        <v>30000</v>
      </c>
      <c r="AR590" s="204">
        <f>V590/R590*100</f>
        <v>125</v>
      </c>
      <c r="AS590" s="204">
        <f>W590/V590*100</f>
        <v>100</v>
      </c>
      <c r="AT590" s="204">
        <f>W590/R590*100</f>
        <v>125</v>
      </c>
      <c r="AU590" s="204">
        <f>AQ590/W590*100</f>
        <v>60</v>
      </c>
      <c r="AV590" s="204">
        <f>AQ590/R590*100</f>
        <v>75</v>
      </c>
    </row>
    <row r="591" spans="1:48" ht="12" customHeight="1">
      <c r="A591" s="53"/>
      <c r="B591" s="53"/>
      <c r="C591" s="53"/>
      <c r="D591" s="53"/>
      <c r="E591" s="53"/>
      <c r="F591" s="53"/>
      <c r="G591" s="53"/>
      <c r="H591" s="1" t="s">
        <v>525</v>
      </c>
      <c r="I591" s="345">
        <v>451</v>
      </c>
      <c r="J591" s="229">
        <v>3861</v>
      </c>
      <c r="K591" s="18" t="s">
        <v>526</v>
      </c>
      <c r="L591" s="130">
        <v>0</v>
      </c>
      <c r="M591" s="130">
        <v>0</v>
      </c>
      <c r="N591" s="131">
        <v>130000</v>
      </c>
      <c r="O591" s="131">
        <f>N591/7.5345</f>
        <v>17253.965093901385</v>
      </c>
      <c r="P591" s="132">
        <v>40000</v>
      </c>
      <c r="Q591" s="132">
        <v>40000</v>
      </c>
      <c r="R591" s="159">
        <v>40000</v>
      </c>
      <c r="S591" s="165" t="e">
        <f ca="1">__xlfn.XLOOKUP(H591,[1]Izvršenje_proračuna_po_pozicija!$B$2:$B$153,[1]Izvršenje_proračuna_po_pozicija!$E$2:$E$153,0)</f>
        <v>#NAME?</v>
      </c>
      <c r="T591" s="165"/>
      <c r="U591" s="165"/>
      <c r="V591" s="200">
        <v>50000</v>
      </c>
      <c r="W591" s="200">
        <v>50000</v>
      </c>
      <c r="X591" s="164">
        <v>200000</v>
      </c>
      <c r="Y591" s="378">
        <v>250000</v>
      </c>
      <c r="Z591" s="378"/>
      <c r="AA591" s="370" t="e">
        <f t="shared" ca="1" si="380"/>
        <v>#NAME?</v>
      </c>
      <c r="AB591" s="183"/>
      <c r="AC591" s="178">
        <v>40000</v>
      </c>
      <c r="AD591" s="178">
        <v>40000</v>
      </c>
      <c r="AE591" s="178"/>
      <c r="AF591" s="178">
        <f t="shared" si="399"/>
        <v>231.83076923076928</v>
      </c>
      <c r="AG591" s="178">
        <f t="shared" si="399"/>
        <v>100</v>
      </c>
      <c r="AH591" s="178">
        <f>AC591/Q591*100</f>
        <v>100</v>
      </c>
      <c r="AI591" s="183"/>
      <c r="AJ591" s="378">
        <v>250000</v>
      </c>
      <c r="AK591" s="171">
        <f t="shared" si="373"/>
        <v>125</v>
      </c>
      <c r="AL591" s="171">
        <f t="shared" si="374"/>
        <v>400</v>
      </c>
      <c r="AM591" s="171">
        <f>Y591/X591*100</f>
        <v>125</v>
      </c>
      <c r="AN591" s="165"/>
      <c r="AO591" s="193"/>
      <c r="AP591" s="193" t="e">
        <f t="shared" ca="1" si="379"/>
        <v>#NAME?</v>
      </c>
      <c r="AQ591" s="200">
        <v>30000</v>
      </c>
      <c r="AR591" s="204">
        <f>V591/R591*100</f>
        <v>125</v>
      </c>
      <c r="AS591" s="204">
        <f>W591/V591*100</f>
        <v>100</v>
      </c>
      <c r="AT591" s="204">
        <f>W591/R591*100</f>
        <v>125</v>
      </c>
      <c r="AU591" s="204">
        <f>AQ591/W591*100</f>
        <v>60</v>
      </c>
      <c r="AV591" s="204">
        <f>AQ591/R591*100</f>
        <v>75</v>
      </c>
    </row>
    <row r="592" spans="1:48" ht="12" customHeight="1">
      <c r="A592" s="53"/>
      <c r="B592" s="53"/>
      <c r="C592" s="53"/>
      <c r="D592" s="53"/>
      <c r="E592" s="53"/>
      <c r="F592" s="53"/>
      <c r="G592" s="53"/>
      <c r="H592" s="1"/>
      <c r="I592" s="345"/>
      <c r="J592" s="229"/>
      <c r="K592" s="18"/>
      <c r="L592" s="130"/>
      <c r="M592" s="130"/>
      <c r="N592" s="131"/>
      <c r="O592" s="131"/>
      <c r="P592" s="132"/>
      <c r="Q592" s="132"/>
      <c r="R592" s="159"/>
      <c r="S592" s="165" t="e">
        <f ca="1">__xlfn.XLOOKUP(H592,[1]Izvršenje_proračuna_po_pozicija!$B$2:$B$153,[1]Izvršenje_proračuna_po_pozicija!$E$2:$E$153,0)</f>
        <v>#NAME?</v>
      </c>
      <c r="T592" s="165"/>
      <c r="U592" s="165"/>
      <c r="V592" s="200"/>
      <c r="W592" s="200"/>
      <c r="X592" s="164"/>
      <c r="Y592" s="378"/>
      <c r="Z592" s="378"/>
      <c r="AA592" s="370" t="e">
        <f t="shared" ca="1" si="380"/>
        <v>#NAME?</v>
      </c>
      <c r="AB592" s="183"/>
      <c r="AC592" s="178"/>
      <c r="AD592" s="178"/>
      <c r="AE592" s="178"/>
      <c r="AF592" s="178"/>
      <c r="AG592" s="178"/>
      <c r="AH592" s="178"/>
      <c r="AI592" s="183"/>
      <c r="AJ592" s="378"/>
      <c r="AK592" s="171"/>
      <c r="AL592" s="171"/>
      <c r="AM592" s="171"/>
      <c r="AN592" s="165"/>
      <c r="AO592" s="193"/>
      <c r="AP592" s="193" t="e">
        <f t="shared" ca="1" si="379"/>
        <v>#NAME?</v>
      </c>
      <c r="AQ592" s="200"/>
      <c r="AR592" s="204"/>
      <c r="AS592" s="204"/>
      <c r="AT592" s="204"/>
      <c r="AU592" s="204"/>
      <c r="AV592" s="204"/>
    </row>
    <row r="593" spans="1:48" ht="12" customHeight="1">
      <c r="A593" s="24"/>
      <c r="B593" s="24"/>
      <c r="C593" s="24"/>
      <c r="D593" s="24"/>
      <c r="E593" s="24"/>
      <c r="F593" s="24"/>
      <c r="G593" s="24"/>
      <c r="H593" s="393"/>
      <c r="I593" s="404"/>
      <c r="J593" s="281">
        <v>4</v>
      </c>
      <c r="K593" s="2" t="s">
        <v>463</v>
      </c>
      <c r="L593" s="112">
        <f t="shared" ref="L593:S594" si="400">L594</f>
        <v>0</v>
      </c>
      <c r="M593" s="112">
        <f t="shared" si="400"/>
        <v>0</v>
      </c>
      <c r="N593" s="113">
        <f t="shared" si="400"/>
        <v>0</v>
      </c>
      <c r="O593" s="113">
        <f t="shared" si="400"/>
        <v>0</v>
      </c>
      <c r="P593" s="114">
        <f t="shared" si="400"/>
        <v>5000</v>
      </c>
      <c r="Q593" s="114">
        <f t="shared" si="400"/>
        <v>0</v>
      </c>
      <c r="R593" s="88">
        <f t="shared" si="400"/>
        <v>0</v>
      </c>
      <c r="S593" s="90" t="e">
        <f t="shared" ca="1" si="400"/>
        <v>#NAME?</v>
      </c>
      <c r="T593" s="90"/>
      <c r="U593" s="90"/>
      <c r="V593" s="200">
        <f>V594</f>
        <v>0</v>
      </c>
      <c r="W593" s="200">
        <f t="shared" ref="W593:Z594" si="401">W594</f>
        <v>0</v>
      </c>
      <c r="X593" s="88">
        <f t="shared" si="401"/>
        <v>0</v>
      </c>
      <c r="Y593" s="171">
        <f t="shared" si="401"/>
        <v>0</v>
      </c>
      <c r="Z593" s="171">
        <f t="shared" si="401"/>
        <v>0</v>
      </c>
      <c r="AA593" s="370" t="e">
        <f t="shared" ca="1" si="380"/>
        <v>#NAME?</v>
      </c>
      <c r="AB593" s="171"/>
      <c r="AC593" s="172">
        <f>AC594</f>
        <v>5000</v>
      </c>
      <c r="AD593" s="172">
        <f>AD594</f>
        <v>5000</v>
      </c>
      <c r="AE593" s="178"/>
      <c r="AF593" s="178"/>
      <c r="AG593" s="178"/>
      <c r="AH593" s="178"/>
      <c r="AI593" s="171"/>
      <c r="AJ593" s="171">
        <v>0</v>
      </c>
      <c r="AK593" s="171"/>
      <c r="AL593" s="171"/>
      <c r="AM593" s="171"/>
      <c r="AN593" s="90"/>
      <c r="AO593" s="193"/>
      <c r="AP593" s="193" t="e">
        <f t="shared" ca="1" si="379"/>
        <v>#NAME?</v>
      </c>
      <c r="AQ593" s="200">
        <f>AQ594</f>
        <v>0</v>
      </c>
      <c r="AR593" s="204"/>
      <c r="AS593" s="204"/>
      <c r="AT593" s="387"/>
      <c r="AU593" s="204"/>
      <c r="AV593" s="204"/>
    </row>
    <row r="594" spans="1:48" ht="12" customHeight="1">
      <c r="A594" s="301"/>
      <c r="B594" s="301"/>
      <c r="C594" s="301"/>
      <c r="D594" s="301"/>
      <c r="E594" s="301"/>
      <c r="F594" s="301"/>
      <c r="G594" s="301"/>
      <c r="H594" s="307"/>
      <c r="I594" s="405"/>
      <c r="J594" s="302">
        <v>42</v>
      </c>
      <c r="K594" s="343" t="s">
        <v>514</v>
      </c>
      <c r="L594" s="112">
        <f t="shared" si="400"/>
        <v>0</v>
      </c>
      <c r="M594" s="112">
        <f t="shared" si="400"/>
        <v>0</v>
      </c>
      <c r="N594" s="113">
        <f t="shared" si="400"/>
        <v>0</v>
      </c>
      <c r="O594" s="113">
        <f t="shared" si="400"/>
        <v>0</v>
      </c>
      <c r="P594" s="114">
        <f t="shared" si="400"/>
        <v>5000</v>
      </c>
      <c r="Q594" s="114">
        <f t="shared" si="400"/>
        <v>0</v>
      </c>
      <c r="R594" s="88">
        <f t="shared" si="400"/>
        <v>0</v>
      </c>
      <c r="S594" s="90" t="e">
        <f t="shared" ca="1" si="400"/>
        <v>#NAME?</v>
      </c>
      <c r="T594" s="90"/>
      <c r="U594" s="90"/>
      <c r="V594" s="200">
        <f>V595</f>
        <v>0</v>
      </c>
      <c r="W594" s="200">
        <f t="shared" si="401"/>
        <v>0</v>
      </c>
      <c r="X594" s="88">
        <f t="shared" si="401"/>
        <v>0</v>
      </c>
      <c r="Y594" s="171">
        <f t="shared" si="401"/>
        <v>0</v>
      </c>
      <c r="Z594" s="171">
        <f t="shared" si="401"/>
        <v>0</v>
      </c>
      <c r="AA594" s="370" t="e">
        <f t="shared" ca="1" si="380"/>
        <v>#NAME?</v>
      </c>
      <c r="AB594" s="171"/>
      <c r="AC594" s="172">
        <f>AC595</f>
        <v>5000</v>
      </c>
      <c r="AD594" s="172">
        <f>AD595</f>
        <v>5000</v>
      </c>
      <c r="AE594" s="178"/>
      <c r="AF594" s="178"/>
      <c r="AG594" s="178"/>
      <c r="AH594" s="178"/>
      <c r="AI594" s="171"/>
      <c r="AJ594" s="171">
        <v>0</v>
      </c>
      <c r="AK594" s="171"/>
      <c r="AL594" s="171"/>
      <c r="AM594" s="171"/>
      <c r="AN594" s="90"/>
      <c r="AO594" s="193"/>
      <c r="AP594" s="193" t="e">
        <f t="shared" ca="1" si="379"/>
        <v>#NAME?</v>
      </c>
      <c r="AQ594" s="200">
        <f>AQ595</f>
        <v>0</v>
      </c>
      <c r="AR594" s="204"/>
      <c r="AS594" s="204"/>
      <c r="AT594" s="204"/>
      <c r="AU594" s="204"/>
      <c r="AV594" s="204"/>
    </row>
    <row r="595" spans="1:48" ht="12" customHeight="1">
      <c r="A595" s="62"/>
      <c r="B595" s="62"/>
      <c r="C595" s="62"/>
      <c r="D595" s="62"/>
      <c r="E595" s="62"/>
      <c r="F595" s="62"/>
      <c r="G595" s="62"/>
      <c r="H595" s="304"/>
      <c r="I595" s="346"/>
      <c r="J595" s="303">
        <v>421</v>
      </c>
      <c r="K595" s="19" t="s">
        <v>465</v>
      </c>
      <c r="L595" s="112">
        <f t="shared" ref="L595:S595" si="402">L596+L597</f>
        <v>0</v>
      </c>
      <c r="M595" s="112">
        <f t="shared" si="402"/>
        <v>0</v>
      </c>
      <c r="N595" s="113">
        <f t="shared" si="402"/>
        <v>0</v>
      </c>
      <c r="O595" s="113">
        <f t="shared" si="402"/>
        <v>0</v>
      </c>
      <c r="P595" s="114">
        <f t="shared" si="402"/>
        <v>5000</v>
      </c>
      <c r="Q595" s="114">
        <f t="shared" si="402"/>
        <v>0</v>
      </c>
      <c r="R595" s="88">
        <f t="shared" si="402"/>
        <v>0</v>
      </c>
      <c r="S595" s="90" t="e">
        <f t="shared" ca="1" si="402"/>
        <v>#NAME?</v>
      </c>
      <c r="T595" s="90"/>
      <c r="U595" s="90"/>
      <c r="V595" s="200">
        <f>V596+V597</f>
        <v>0</v>
      </c>
      <c r="W595" s="200">
        <f>W596+W597</f>
        <v>0</v>
      </c>
      <c r="X595" s="88">
        <f>X596+X597</f>
        <v>0</v>
      </c>
      <c r="Y595" s="171">
        <f>Y596+Y597</f>
        <v>0</v>
      </c>
      <c r="Z595" s="171">
        <f>Z596+Z597</f>
        <v>0</v>
      </c>
      <c r="AA595" s="370" t="e">
        <f t="shared" ca="1" si="380"/>
        <v>#NAME?</v>
      </c>
      <c r="AB595" s="171"/>
      <c r="AC595" s="172">
        <f>AC596+AC597</f>
        <v>5000</v>
      </c>
      <c r="AD595" s="172">
        <f>AD596+AD597</f>
        <v>5000</v>
      </c>
      <c r="AE595" s="178"/>
      <c r="AF595" s="178"/>
      <c r="AG595" s="178"/>
      <c r="AH595" s="178"/>
      <c r="AI595" s="171"/>
      <c r="AJ595" s="171">
        <v>0</v>
      </c>
      <c r="AK595" s="171"/>
      <c r="AL595" s="171"/>
      <c r="AM595" s="171"/>
      <c r="AN595" s="90"/>
      <c r="AO595" s="193"/>
      <c r="AP595" s="193" t="e">
        <f t="shared" ca="1" si="379"/>
        <v>#NAME?</v>
      </c>
      <c r="AQ595" s="200">
        <f>AQ596+AQ597</f>
        <v>0</v>
      </c>
      <c r="AR595" s="204"/>
      <c r="AS595" s="204"/>
      <c r="AT595" s="204"/>
      <c r="AU595" s="204"/>
      <c r="AV595" s="204"/>
    </row>
    <row r="596" spans="1:48" ht="12" customHeight="1">
      <c r="A596" s="53"/>
      <c r="B596" s="53"/>
      <c r="C596" s="53"/>
      <c r="D596" s="53"/>
      <c r="E596" s="53"/>
      <c r="F596" s="53"/>
      <c r="G596" s="53"/>
      <c r="H596" s="1">
        <v>174</v>
      </c>
      <c r="I596" s="345">
        <v>451</v>
      </c>
      <c r="J596" s="229">
        <v>4214</v>
      </c>
      <c r="K596" s="18" t="s">
        <v>527</v>
      </c>
      <c r="L596" s="130">
        <v>0</v>
      </c>
      <c r="M596" s="130">
        <v>0</v>
      </c>
      <c r="N596" s="131">
        <v>0</v>
      </c>
      <c r="O596" s="131">
        <v>0</v>
      </c>
      <c r="P596" s="132">
        <v>5000</v>
      </c>
      <c r="Q596" s="163">
        <v>0</v>
      </c>
      <c r="R596" s="159">
        <v>0</v>
      </c>
      <c r="S596" s="165" t="e">
        <f ca="1">__xlfn.XLOOKUP(H596,[1]Izvršenje_proračuna_po_pozicija!$B$2:$B$153,[1]Izvršenje_proračuna_po_pozicija!$E$2:$E$153,0)</f>
        <v>#NAME?</v>
      </c>
      <c r="T596" s="165"/>
      <c r="U596" s="165"/>
      <c r="V596" s="200"/>
      <c r="W596" s="200"/>
      <c r="X596" s="164"/>
      <c r="Y596" s="378"/>
      <c r="Z596" s="378"/>
      <c r="AA596" s="370" t="e">
        <f t="shared" ca="1" si="380"/>
        <v>#NAME?</v>
      </c>
      <c r="AB596" s="183"/>
      <c r="AC596" s="178">
        <v>5000</v>
      </c>
      <c r="AD596" s="178">
        <v>5000</v>
      </c>
      <c r="AE596" s="178"/>
      <c r="AF596" s="178"/>
      <c r="AG596" s="178"/>
      <c r="AH596" s="178"/>
      <c r="AI596" s="183"/>
      <c r="AJ596" s="378"/>
      <c r="AK596" s="171"/>
      <c r="AL596" s="171"/>
      <c r="AM596" s="171"/>
      <c r="AN596" s="165"/>
      <c r="AO596" s="193"/>
      <c r="AP596" s="193" t="e">
        <f t="shared" ca="1" si="379"/>
        <v>#NAME?</v>
      </c>
      <c r="AQ596" s="200"/>
      <c r="AR596" s="204"/>
      <c r="AS596" s="204"/>
      <c r="AT596" s="204"/>
      <c r="AU596" s="204"/>
      <c r="AV596" s="204"/>
    </row>
    <row r="597" spans="1:48" ht="12" customHeight="1">
      <c r="A597" s="305"/>
      <c r="B597" s="305"/>
      <c r="C597" s="305"/>
      <c r="D597" s="305"/>
      <c r="E597" s="305"/>
      <c r="F597" s="305"/>
      <c r="G597" s="305"/>
      <c r="H597" s="394"/>
      <c r="I597" s="13"/>
      <c r="J597" s="4"/>
      <c r="K597" s="229"/>
      <c r="L597" s="347"/>
      <c r="M597" s="347"/>
      <c r="N597" s="348"/>
      <c r="O597" s="348"/>
      <c r="P597" s="349"/>
      <c r="Q597" s="349"/>
      <c r="R597" s="362"/>
      <c r="S597" s="165" t="e">
        <f ca="1">__xlfn.XLOOKUP(H597,[1]Izvršenje_proračuna_po_pozicija!$B$2:$B$153,[1]Izvršenje_proračuna_po_pozicija!$E$2:$E$153,0)</f>
        <v>#NAME?</v>
      </c>
      <c r="T597" s="165"/>
      <c r="U597" s="165"/>
      <c r="V597" s="200"/>
      <c r="W597" s="200"/>
      <c r="X597" s="166"/>
      <c r="Y597" s="379"/>
      <c r="Z597" s="379"/>
      <c r="AA597" s="370" t="e">
        <f t="shared" ca="1" si="380"/>
        <v>#NAME?</v>
      </c>
      <c r="AB597" s="380"/>
      <c r="AC597" s="381"/>
      <c r="AD597" s="381"/>
      <c r="AE597" s="178"/>
      <c r="AF597" s="178"/>
      <c r="AG597" s="178"/>
      <c r="AH597" s="178"/>
      <c r="AI597" s="380"/>
      <c r="AJ597" s="379"/>
      <c r="AK597" s="171"/>
      <c r="AL597" s="171"/>
      <c r="AM597" s="171"/>
      <c r="AN597" s="384"/>
      <c r="AO597" s="193"/>
      <c r="AP597" s="193" t="e">
        <f t="shared" ca="1" si="379"/>
        <v>#NAME?</v>
      </c>
      <c r="AQ597" s="200"/>
      <c r="AR597" s="204"/>
      <c r="AS597" s="204"/>
      <c r="AT597" s="204"/>
      <c r="AU597" s="204"/>
      <c r="AV597" s="204"/>
    </row>
    <row r="598" spans="1:48" ht="12" customHeight="1">
      <c r="A598" s="437"/>
      <c r="B598" s="437"/>
      <c r="C598" s="437"/>
      <c r="D598" s="437"/>
      <c r="E598" s="437"/>
      <c r="F598" s="437"/>
      <c r="G598" s="437"/>
      <c r="H598" s="438"/>
      <c r="I598" s="457" t="s">
        <v>528</v>
      </c>
      <c r="J598" s="458"/>
      <c r="K598" s="127"/>
      <c r="L598" s="112">
        <f t="shared" ref="L598:S598" si="403">L599+L606</f>
        <v>39000</v>
      </c>
      <c r="M598" s="112">
        <f t="shared" si="403"/>
        <v>5176.1895281704155</v>
      </c>
      <c r="N598" s="113">
        <f t="shared" si="403"/>
        <v>0</v>
      </c>
      <c r="O598" s="113">
        <f t="shared" si="403"/>
        <v>0</v>
      </c>
      <c r="P598" s="114">
        <f t="shared" si="403"/>
        <v>9000</v>
      </c>
      <c r="Q598" s="114">
        <f t="shared" si="403"/>
        <v>0</v>
      </c>
      <c r="R598" s="88">
        <f t="shared" si="403"/>
        <v>0</v>
      </c>
      <c r="S598" s="90" t="e">
        <f t="shared" ca="1" si="403"/>
        <v>#NAME?</v>
      </c>
      <c r="T598" s="90"/>
      <c r="U598" s="90"/>
      <c r="V598" s="200">
        <f>V599+V606</f>
        <v>0</v>
      </c>
      <c r="W598" s="200">
        <f>W599+W606</f>
        <v>0</v>
      </c>
      <c r="X598" s="88">
        <f>X599+X606</f>
        <v>9000</v>
      </c>
      <c r="Y598" s="171">
        <f>Y599+Y606</f>
        <v>9000</v>
      </c>
      <c r="Z598" s="171">
        <f>Z599+Z606</f>
        <v>0</v>
      </c>
      <c r="AA598" s="370" t="e">
        <f t="shared" ca="1" si="380"/>
        <v>#NAME?</v>
      </c>
      <c r="AB598" s="171"/>
      <c r="AC598" s="172">
        <f>AC599+AC606</f>
        <v>11000</v>
      </c>
      <c r="AD598" s="172">
        <f>AD599+AD606</f>
        <v>11000</v>
      </c>
      <c r="AE598" s="178">
        <f>O598/M598*100</f>
        <v>0</v>
      </c>
      <c r="AF598" s="178"/>
      <c r="AG598" s="178"/>
      <c r="AH598" s="178"/>
      <c r="AI598" s="171"/>
      <c r="AJ598" s="171">
        <v>9000</v>
      </c>
      <c r="AK598" s="171"/>
      <c r="AL598" s="171"/>
      <c r="AM598" s="171">
        <f t="shared" ref="AM598:AM660" si="404">Y598/X598*100</f>
        <v>100</v>
      </c>
      <c r="AN598" s="90"/>
      <c r="AO598" s="193"/>
      <c r="AP598" s="193" t="e">
        <f t="shared" ca="1" si="379"/>
        <v>#NAME?</v>
      </c>
      <c r="AQ598" s="200">
        <f>AQ599+AQ606</f>
        <v>0</v>
      </c>
      <c r="AR598" s="204"/>
      <c r="AS598" s="204"/>
      <c r="AT598" s="204"/>
      <c r="AU598" s="204"/>
      <c r="AV598" s="204"/>
    </row>
    <row r="599" spans="1:48" ht="12" customHeight="1">
      <c r="A599" s="390" t="s">
        <v>331</v>
      </c>
      <c r="B599" s="391"/>
      <c r="C599" s="391"/>
      <c r="D599" s="391"/>
      <c r="E599" s="391"/>
      <c r="F599" s="391"/>
      <c r="G599" s="391"/>
      <c r="H599" s="392"/>
      <c r="I599" s="453" t="s">
        <v>529</v>
      </c>
      <c r="J599" s="454"/>
      <c r="K599" s="124"/>
      <c r="L599" s="112">
        <f t="shared" ref="L599:S599" si="405">L601</f>
        <v>39000</v>
      </c>
      <c r="M599" s="112">
        <f t="shared" si="405"/>
        <v>5176.1895281704155</v>
      </c>
      <c r="N599" s="113">
        <f t="shared" si="405"/>
        <v>0</v>
      </c>
      <c r="O599" s="113">
        <f t="shared" si="405"/>
        <v>0</v>
      </c>
      <c r="P599" s="114">
        <f t="shared" si="405"/>
        <v>5000</v>
      </c>
      <c r="Q599" s="114">
        <f t="shared" si="405"/>
        <v>0</v>
      </c>
      <c r="R599" s="88">
        <f t="shared" si="405"/>
        <v>0</v>
      </c>
      <c r="S599" s="90" t="e">
        <f t="shared" ca="1" si="405"/>
        <v>#NAME?</v>
      </c>
      <c r="T599" s="90"/>
      <c r="U599" s="90"/>
      <c r="V599" s="200">
        <f>V601</f>
        <v>0</v>
      </c>
      <c r="W599" s="200">
        <f>W601</f>
        <v>0</v>
      </c>
      <c r="X599" s="88">
        <f>X601</f>
        <v>5000</v>
      </c>
      <c r="Y599" s="171">
        <f>Y601</f>
        <v>5000</v>
      </c>
      <c r="Z599" s="171">
        <f>Z601</f>
        <v>0</v>
      </c>
      <c r="AA599" s="370" t="e">
        <f t="shared" ca="1" si="380"/>
        <v>#NAME?</v>
      </c>
      <c r="AB599" s="171"/>
      <c r="AC599" s="172">
        <f>AC601</f>
        <v>6000</v>
      </c>
      <c r="AD599" s="172">
        <f>AD601</f>
        <v>6000</v>
      </c>
      <c r="AE599" s="178">
        <f>O599/M599*100</f>
        <v>0</v>
      </c>
      <c r="AF599" s="178"/>
      <c r="AG599" s="178"/>
      <c r="AH599" s="178"/>
      <c r="AI599" s="171"/>
      <c r="AJ599" s="171">
        <v>5000</v>
      </c>
      <c r="AK599" s="171"/>
      <c r="AL599" s="171"/>
      <c r="AM599" s="171">
        <f t="shared" si="404"/>
        <v>100</v>
      </c>
      <c r="AN599" s="90"/>
      <c r="AO599" s="193"/>
      <c r="AP599" s="193" t="e">
        <f t="shared" ca="1" si="379"/>
        <v>#NAME?</v>
      </c>
      <c r="AQ599" s="200">
        <f>AQ601</f>
        <v>0</v>
      </c>
      <c r="AR599" s="204"/>
      <c r="AS599" s="204"/>
      <c r="AT599" s="204"/>
      <c r="AU599" s="204"/>
      <c r="AV599" s="204"/>
    </row>
    <row r="600" spans="1:48" ht="12" customHeight="1">
      <c r="A600" s="42"/>
      <c r="B600" s="42"/>
      <c r="C600" s="42"/>
      <c r="D600" s="42"/>
      <c r="E600" s="42"/>
      <c r="F600" s="42"/>
      <c r="G600" s="42"/>
      <c r="H600" s="308"/>
      <c r="I600" s="14"/>
      <c r="J600" s="2"/>
      <c r="K600" s="84"/>
      <c r="L600" s="85"/>
      <c r="M600" s="85"/>
      <c r="N600" s="86"/>
      <c r="O600" s="86"/>
      <c r="P600" s="87"/>
      <c r="Q600" s="87"/>
      <c r="R600" s="160"/>
      <c r="S600" s="165" t="e">
        <f ca="1">__xlfn.XLOOKUP(H600,[1]Izvršenje_proračuna_po_pozicija!$B$2:$B$153,[1]Izvršenje_proračuna_po_pozicija!$E$2:$E$153,0)</f>
        <v>#NAME?</v>
      </c>
      <c r="T600" s="165"/>
      <c r="U600" s="165"/>
      <c r="V600" s="200"/>
      <c r="W600" s="200"/>
      <c r="X600" s="361"/>
      <c r="Y600" s="373"/>
      <c r="Z600" s="373"/>
      <c r="AA600" s="370" t="e">
        <f t="shared" ca="1" si="380"/>
        <v>#NAME?</v>
      </c>
      <c r="AB600" s="181"/>
      <c r="AC600" s="182"/>
      <c r="AD600" s="182"/>
      <c r="AE600" s="178"/>
      <c r="AF600" s="178"/>
      <c r="AG600" s="178"/>
      <c r="AH600" s="178"/>
      <c r="AI600" s="181"/>
      <c r="AJ600" s="373"/>
      <c r="AK600" s="171"/>
      <c r="AL600" s="171"/>
      <c r="AM600" s="171"/>
      <c r="AN600" s="161"/>
      <c r="AO600" s="193"/>
      <c r="AP600" s="193" t="e">
        <f t="shared" ca="1" si="379"/>
        <v>#NAME?</v>
      </c>
      <c r="AQ600" s="200"/>
      <c r="AR600" s="204"/>
      <c r="AS600" s="204"/>
      <c r="AT600" s="204"/>
      <c r="AU600" s="204"/>
      <c r="AV600" s="204"/>
    </row>
    <row r="601" spans="1:48" ht="12" customHeight="1">
      <c r="A601" s="24"/>
      <c r="B601" s="24"/>
      <c r="C601" s="24"/>
      <c r="D601" s="24"/>
      <c r="E601" s="24"/>
      <c r="F601" s="24"/>
      <c r="G601" s="24"/>
      <c r="H601" s="393"/>
      <c r="I601" s="404"/>
      <c r="J601" s="281">
        <v>3</v>
      </c>
      <c r="K601" s="2" t="s">
        <v>224</v>
      </c>
      <c r="L601" s="112">
        <f t="shared" ref="L601:AD603" si="406">L602</f>
        <v>39000</v>
      </c>
      <c r="M601" s="112">
        <f t="shared" si="406"/>
        <v>5176.1895281704155</v>
      </c>
      <c r="N601" s="113">
        <f t="shared" si="406"/>
        <v>0</v>
      </c>
      <c r="O601" s="113">
        <f t="shared" si="406"/>
        <v>0</v>
      </c>
      <c r="P601" s="114">
        <f t="shared" si="406"/>
        <v>5000</v>
      </c>
      <c r="Q601" s="114">
        <f t="shared" si="406"/>
        <v>0</v>
      </c>
      <c r="R601" s="88">
        <f t="shared" si="406"/>
        <v>0</v>
      </c>
      <c r="S601" s="90" t="e">
        <f t="shared" ca="1" si="406"/>
        <v>#NAME?</v>
      </c>
      <c r="T601" s="90"/>
      <c r="U601" s="90"/>
      <c r="V601" s="200">
        <f>V602</f>
        <v>0</v>
      </c>
      <c r="W601" s="200">
        <f t="shared" si="406"/>
        <v>0</v>
      </c>
      <c r="X601" s="88">
        <f t="shared" si="406"/>
        <v>5000</v>
      </c>
      <c r="Y601" s="171">
        <f t="shared" si="406"/>
        <v>5000</v>
      </c>
      <c r="Z601" s="171">
        <f t="shared" si="406"/>
        <v>0</v>
      </c>
      <c r="AA601" s="370" t="e">
        <f t="shared" ca="1" si="380"/>
        <v>#NAME?</v>
      </c>
      <c r="AB601" s="171"/>
      <c r="AC601" s="172">
        <f t="shared" si="406"/>
        <v>6000</v>
      </c>
      <c r="AD601" s="172">
        <f t="shared" si="406"/>
        <v>6000</v>
      </c>
      <c r="AE601" s="178">
        <f>O601/M601*100</f>
        <v>0</v>
      </c>
      <c r="AF601" s="178"/>
      <c r="AG601" s="178"/>
      <c r="AH601" s="178"/>
      <c r="AI601" s="171"/>
      <c r="AJ601" s="171">
        <v>5000</v>
      </c>
      <c r="AK601" s="171"/>
      <c r="AL601" s="171"/>
      <c r="AM601" s="171">
        <f t="shared" si="404"/>
        <v>100</v>
      </c>
      <c r="AN601" s="90"/>
      <c r="AO601" s="193"/>
      <c r="AP601" s="193" t="e">
        <f t="shared" ca="1" si="379"/>
        <v>#NAME?</v>
      </c>
      <c r="AQ601" s="200">
        <f>AQ602</f>
        <v>0</v>
      </c>
      <c r="AR601" s="204"/>
      <c r="AS601" s="204"/>
      <c r="AT601" s="204"/>
      <c r="AU601" s="204"/>
      <c r="AV601" s="204"/>
    </row>
    <row r="602" spans="1:48" ht="12" customHeight="1">
      <c r="A602" s="301"/>
      <c r="B602" s="301"/>
      <c r="C602" s="301"/>
      <c r="D602" s="301"/>
      <c r="E602" s="301"/>
      <c r="F602" s="301"/>
      <c r="G602" s="301"/>
      <c r="H602" s="307"/>
      <c r="I602" s="350"/>
      <c r="J602" s="302">
        <v>32</v>
      </c>
      <c r="K602" s="343" t="s">
        <v>233</v>
      </c>
      <c r="L602" s="112">
        <f t="shared" si="406"/>
        <v>39000</v>
      </c>
      <c r="M602" s="112">
        <f t="shared" si="406"/>
        <v>5176.1895281704155</v>
      </c>
      <c r="N602" s="113">
        <f t="shared" si="406"/>
        <v>0</v>
      </c>
      <c r="O602" s="113">
        <f t="shared" si="406"/>
        <v>0</v>
      </c>
      <c r="P602" s="114">
        <f t="shared" si="406"/>
        <v>5000</v>
      </c>
      <c r="Q602" s="114">
        <f t="shared" si="406"/>
        <v>0</v>
      </c>
      <c r="R602" s="88">
        <f t="shared" si="406"/>
        <v>0</v>
      </c>
      <c r="S602" s="90" t="e">
        <f t="shared" ca="1" si="406"/>
        <v>#NAME?</v>
      </c>
      <c r="T602" s="90"/>
      <c r="U602" s="90"/>
      <c r="V602" s="200">
        <f>V603</f>
        <v>0</v>
      </c>
      <c r="W602" s="200">
        <f t="shared" si="406"/>
        <v>0</v>
      </c>
      <c r="X602" s="88">
        <f t="shared" si="406"/>
        <v>5000</v>
      </c>
      <c r="Y602" s="171">
        <f t="shared" si="406"/>
        <v>5000</v>
      </c>
      <c r="Z602" s="171">
        <f t="shared" si="406"/>
        <v>0</v>
      </c>
      <c r="AA602" s="370" t="e">
        <f t="shared" ca="1" si="380"/>
        <v>#NAME?</v>
      </c>
      <c r="AB602" s="171"/>
      <c r="AC602" s="172">
        <f t="shared" si="406"/>
        <v>6000</v>
      </c>
      <c r="AD602" s="172">
        <f t="shared" si="406"/>
        <v>6000</v>
      </c>
      <c r="AE602" s="178">
        <f>O602/M602*100</f>
        <v>0</v>
      </c>
      <c r="AF602" s="178"/>
      <c r="AG602" s="178"/>
      <c r="AH602" s="178"/>
      <c r="AI602" s="171"/>
      <c r="AJ602" s="171">
        <v>5000</v>
      </c>
      <c r="AK602" s="171"/>
      <c r="AL602" s="171"/>
      <c r="AM602" s="171">
        <f t="shared" si="404"/>
        <v>100</v>
      </c>
      <c r="AN602" s="90"/>
      <c r="AO602" s="193"/>
      <c r="AP602" s="193" t="e">
        <f t="shared" ca="1" si="379"/>
        <v>#NAME?</v>
      </c>
      <c r="AQ602" s="200">
        <f>AQ603</f>
        <v>0</v>
      </c>
      <c r="AR602" s="204"/>
      <c r="AS602" s="204"/>
      <c r="AT602" s="204"/>
      <c r="AU602" s="204"/>
      <c r="AV602" s="204"/>
    </row>
    <row r="603" spans="1:48" ht="12" customHeight="1">
      <c r="A603" s="62"/>
      <c r="B603" s="62"/>
      <c r="C603" s="62"/>
      <c r="D603" s="62"/>
      <c r="E603" s="62"/>
      <c r="F603" s="62"/>
      <c r="G603" s="62"/>
      <c r="H603" s="304"/>
      <c r="I603" s="464"/>
      <c r="J603" s="303">
        <v>323</v>
      </c>
      <c r="K603" s="19" t="s">
        <v>356</v>
      </c>
      <c r="L603" s="112">
        <f t="shared" si="406"/>
        <v>39000</v>
      </c>
      <c r="M603" s="112">
        <f t="shared" si="406"/>
        <v>5176.1895281704155</v>
      </c>
      <c r="N603" s="113">
        <f t="shared" si="406"/>
        <v>0</v>
      </c>
      <c r="O603" s="113">
        <f t="shared" si="406"/>
        <v>0</v>
      </c>
      <c r="P603" s="114">
        <f t="shared" si="406"/>
        <v>5000</v>
      </c>
      <c r="Q603" s="114">
        <f t="shared" si="406"/>
        <v>0</v>
      </c>
      <c r="R603" s="88">
        <f t="shared" si="406"/>
        <v>0</v>
      </c>
      <c r="S603" s="90" t="e">
        <f t="shared" ca="1" si="406"/>
        <v>#NAME?</v>
      </c>
      <c r="T603" s="90"/>
      <c r="U603" s="90"/>
      <c r="V603" s="200">
        <f>V604</f>
        <v>0</v>
      </c>
      <c r="W603" s="200">
        <f t="shared" si="406"/>
        <v>0</v>
      </c>
      <c r="X603" s="88">
        <f t="shared" si="406"/>
        <v>5000</v>
      </c>
      <c r="Y603" s="171">
        <f t="shared" si="406"/>
        <v>5000</v>
      </c>
      <c r="Z603" s="171">
        <f t="shared" si="406"/>
        <v>0</v>
      </c>
      <c r="AA603" s="370" t="e">
        <f t="shared" ca="1" si="380"/>
        <v>#NAME?</v>
      </c>
      <c r="AB603" s="171"/>
      <c r="AC603" s="172">
        <f>AC604</f>
        <v>6000</v>
      </c>
      <c r="AD603" s="172">
        <f>AD604</f>
        <v>6000</v>
      </c>
      <c r="AE603" s="178">
        <f>O603/M603*100</f>
        <v>0</v>
      </c>
      <c r="AF603" s="178"/>
      <c r="AG603" s="178"/>
      <c r="AH603" s="178"/>
      <c r="AI603" s="171"/>
      <c r="AJ603" s="171">
        <v>5000</v>
      </c>
      <c r="AK603" s="171"/>
      <c r="AL603" s="171"/>
      <c r="AM603" s="171">
        <f t="shared" si="404"/>
        <v>100</v>
      </c>
      <c r="AN603" s="90"/>
      <c r="AO603" s="193"/>
      <c r="AP603" s="193" t="e">
        <f t="shared" ca="1" si="379"/>
        <v>#NAME?</v>
      </c>
      <c r="AQ603" s="200">
        <f>AQ604</f>
        <v>0</v>
      </c>
      <c r="AR603" s="204"/>
      <c r="AS603" s="204"/>
      <c r="AT603" s="204"/>
      <c r="AU603" s="204"/>
      <c r="AV603" s="204"/>
    </row>
    <row r="604" spans="1:48" ht="12" customHeight="1">
      <c r="A604" s="53"/>
      <c r="B604" s="53"/>
      <c r="C604" s="53"/>
      <c r="D604" s="53"/>
      <c r="E604" s="53"/>
      <c r="F604" s="53"/>
      <c r="G604" s="53"/>
      <c r="H604" s="1" t="s">
        <v>530</v>
      </c>
      <c r="I604" s="397">
        <v>473</v>
      </c>
      <c r="J604" s="229">
        <v>3233</v>
      </c>
      <c r="K604" s="18" t="s">
        <v>531</v>
      </c>
      <c r="L604" s="130">
        <v>39000</v>
      </c>
      <c r="M604" s="130">
        <f>39000/7.5345</f>
        <v>5176.1895281704155</v>
      </c>
      <c r="N604" s="131">
        <v>0</v>
      </c>
      <c r="O604" s="131">
        <v>0</v>
      </c>
      <c r="P604" s="132">
        <v>5000</v>
      </c>
      <c r="Q604" s="163">
        <v>0</v>
      </c>
      <c r="R604" s="159">
        <v>0</v>
      </c>
      <c r="S604" s="165" t="e">
        <f ca="1">__xlfn.XLOOKUP(H604,[1]Izvršenje_proračuna_po_pozicija!$B$2:$B$153,[1]Izvršenje_proračuna_po_pozicija!$E$2:$E$153,0)</f>
        <v>#NAME?</v>
      </c>
      <c r="T604" s="165"/>
      <c r="U604" s="165"/>
      <c r="V604" s="200">
        <v>0</v>
      </c>
      <c r="W604" s="200">
        <v>0</v>
      </c>
      <c r="X604" s="164">
        <v>5000</v>
      </c>
      <c r="Y604" s="378">
        <v>5000</v>
      </c>
      <c r="Z604" s="378"/>
      <c r="AA604" s="370" t="e">
        <f t="shared" ca="1" si="380"/>
        <v>#NAME?</v>
      </c>
      <c r="AB604" s="183"/>
      <c r="AC604" s="178">
        <v>6000</v>
      </c>
      <c r="AD604" s="178">
        <v>6000</v>
      </c>
      <c r="AE604" s="178">
        <f>O604/M604*100</f>
        <v>0</v>
      </c>
      <c r="AF604" s="178"/>
      <c r="AG604" s="178"/>
      <c r="AH604" s="178"/>
      <c r="AI604" s="183"/>
      <c r="AJ604" s="378">
        <v>5000</v>
      </c>
      <c r="AK604" s="171"/>
      <c r="AL604" s="171"/>
      <c r="AM604" s="171">
        <f t="shared" si="404"/>
        <v>100</v>
      </c>
      <c r="AN604" s="165"/>
      <c r="AO604" s="193"/>
      <c r="AP604" s="193" t="e">
        <f t="shared" ca="1" si="379"/>
        <v>#NAME?</v>
      </c>
      <c r="AQ604" s="200"/>
      <c r="AR604" s="204"/>
      <c r="AS604" s="204"/>
      <c r="AT604" s="204"/>
      <c r="AU604" s="204"/>
      <c r="AV604" s="204"/>
    </row>
    <row r="605" spans="1:48" ht="12" customHeight="1">
      <c r="A605" s="42"/>
      <c r="B605" s="42"/>
      <c r="C605" s="42"/>
      <c r="D605" s="42"/>
      <c r="E605" s="42"/>
      <c r="F605" s="42"/>
      <c r="G605" s="42"/>
      <c r="H605" s="308"/>
      <c r="I605" s="14"/>
      <c r="J605" s="2"/>
      <c r="K605" s="84"/>
      <c r="L605" s="85"/>
      <c r="M605" s="85"/>
      <c r="N605" s="86"/>
      <c r="O605" s="86"/>
      <c r="P605" s="87"/>
      <c r="Q605" s="87"/>
      <c r="R605" s="160"/>
      <c r="S605" s="165" t="e">
        <f ca="1">__xlfn.XLOOKUP(H605,[1]Izvršenje_proračuna_po_pozicija!$B$2:$B$153,[1]Izvršenje_proračuna_po_pozicija!$E$2:$E$153,0)</f>
        <v>#NAME?</v>
      </c>
      <c r="T605" s="165"/>
      <c r="U605" s="165"/>
      <c r="V605" s="200"/>
      <c r="W605" s="200"/>
      <c r="X605" s="361"/>
      <c r="Y605" s="373"/>
      <c r="Z605" s="373"/>
      <c r="AA605" s="370" t="e">
        <f t="shared" ca="1" si="380"/>
        <v>#NAME?</v>
      </c>
      <c r="AB605" s="181"/>
      <c r="AC605" s="182"/>
      <c r="AD605" s="182"/>
      <c r="AE605" s="178"/>
      <c r="AF605" s="178"/>
      <c r="AG605" s="178"/>
      <c r="AH605" s="178"/>
      <c r="AI605" s="181"/>
      <c r="AJ605" s="373"/>
      <c r="AK605" s="171"/>
      <c r="AL605" s="171"/>
      <c r="AM605" s="171"/>
      <c r="AN605" s="161"/>
      <c r="AO605" s="193"/>
      <c r="AP605" s="193" t="e">
        <f t="shared" ca="1" si="379"/>
        <v>#NAME?</v>
      </c>
      <c r="AQ605" s="200"/>
      <c r="AR605" s="204"/>
      <c r="AS605" s="204"/>
      <c r="AT605" s="204"/>
      <c r="AU605" s="204"/>
      <c r="AV605" s="204"/>
    </row>
    <row r="606" spans="1:48" ht="12" customHeight="1">
      <c r="A606" s="56" t="s">
        <v>532</v>
      </c>
      <c r="B606" s="56"/>
      <c r="C606" s="56"/>
      <c r="D606" s="56"/>
      <c r="E606" s="56"/>
      <c r="F606" s="56"/>
      <c r="G606" s="56"/>
      <c r="H606" s="461"/>
      <c r="I606" s="12" t="s">
        <v>533</v>
      </c>
      <c r="J606" s="454"/>
      <c r="K606" s="454"/>
      <c r="L606" s="88">
        <f t="shared" ref="L606:S606" si="407">L608</f>
        <v>0</v>
      </c>
      <c r="M606" s="88">
        <f t="shared" si="407"/>
        <v>0</v>
      </c>
      <c r="N606" s="89">
        <f t="shared" si="407"/>
        <v>0</v>
      </c>
      <c r="O606" s="89">
        <f t="shared" si="407"/>
        <v>0</v>
      </c>
      <c r="P606" s="90">
        <f t="shared" si="407"/>
        <v>4000</v>
      </c>
      <c r="Q606" s="90">
        <f t="shared" si="407"/>
        <v>0</v>
      </c>
      <c r="R606" s="88">
        <f t="shared" si="407"/>
        <v>0</v>
      </c>
      <c r="S606" s="90" t="e">
        <f t="shared" ca="1" si="407"/>
        <v>#NAME?</v>
      </c>
      <c r="T606" s="90"/>
      <c r="U606" s="90"/>
      <c r="V606" s="200">
        <f>V608</f>
        <v>0</v>
      </c>
      <c r="W606" s="200">
        <f>W608</f>
        <v>0</v>
      </c>
      <c r="X606" s="88">
        <f>X608</f>
        <v>4000</v>
      </c>
      <c r="Y606" s="171">
        <f>Y608</f>
        <v>4000</v>
      </c>
      <c r="Z606" s="171">
        <f>Z608</f>
        <v>0</v>
      </c>
      <c r="AA606" s="370" t="e">
        <f t="shared" ca="1" si="380"/>
        <v>#NAME?</v>
      </c>
      <c r="AB606" s="171"/>
      <c r="AC606" s="172">
        <f>AC608</f>
        <v>5000</v>
      </c>
      <c r="AD606" s="172">
        <f>AD608</f>
        <v>5000</v>
      </c>
      <c r="AE606" s="178"/>
      <c r="AF606" s="178"/>
      <c r="AG606" s="178"/>
      <c r="AH606" s="178"/>
      <c r="AI606" s="171"/>
      <c r="AJ606" s="171">
        <v>4000</v>
      </c>
      <c r="AK606" s="171"/>
      <c r="AL606" s="171"/>
      <c r="AM606" s="171">
        <f t="shared" si="404"/>
        <v>100</v>
      </c>
      <c r="AN606" s="90"/>
      <c r="AO606" s="193"/>
      <c r="AP606" s="193" t="e">
        <f t="shared" ca="1" si="379"/>
        <v>#NAME?</v>
      </c>
      <c r="AQ606" s="200">
        <f>AQ608</f>
        <v>0</v>
      </c>
      <c r="AR606" s="204"/>
      <c r="AS606" s="204"/>
      <c r="AT606" s="204"/>
      <c r="AU606" s="204"/>
      <c r="AV606" s="204"/>
    </row>
    <row r="607" spans="1:48" ht="12" customHeight="1">
      <c r="A607" s="53"/>
      <c r="B607" s="53"/>
      <c r="C607" s="53"/>
      <c r="D607" s="53"/>
      <c r="E607" s="53"/>
      <c r="F607" s="53"/>
      <c r="G607" s="53"/>
      <c r="H607" s="1"/>
      <c r="I607" s="397"/>
      <c r="J607" s="229"/>
      <c r="K607" s="18"/>
      <c r="L607" s="112"/>
      <c r="M607" s="112"/>
      <c r="N607" s="113"/>
      <c r="O607" s="113"/>
      <c r="P607" s="114"/>
      <c r="Q607" s="114"/>
      <c r="R607" s="88"/>
      <c r="S607" s="165" t="e">
        <f ca="1">__xlfn.XLOOKUP(H607,[1]Izvršenje_proračuna_po_pozicija!$B$2:$B$153,[1]Izvršenje_proračuna_po_pozicija!$E$2:$E$153,0)</f>
        <v>#NAME?</v>
      </c>
      <c r="T607" s="165"/>
      <c r="U607" s="165"/>
      <c r="V607" s="200"/>
      <c r="W607" s="200"/>
      <c r="X607" s="167"/>
      <c r="Y607" s="370"/>
      <c r="Z607" s="370"/>
      <c r="AA607" s="370" t="e">
        <f t="shared" ca="1" si="380"/>
        <v>#NAME?</v>
      </c>
      <c r="AB607" s="171"/>
      <c r="AC607" s="172"/>
      <c r="AD607" s="172"/>
      <c r="AE607" s="178"/>
      <c r="AF607" s="178"/>
      <c r="AG607" s="178"/>
      <c r="AH607" s="178"/>
      <c r="AI607" s="171"/>
      <c r="AJ607" s="370"/>
      <c r="AK607" s="171"/>
      <c r="AL607" s="171"/>
      <c r="AM607" s="171"/>
      <c r="AN607" s="90"/>
      <c r="AO607" s="193"/>
      <c r="AP607" s="193" t="e">
        <f t="shared" ref="AP607:AP670" ca="1" si="408">__xlfn.ISFORMULA(X607)</f>
        <v>#NAME?</v>
      </c>
      <c r="AQ607" s="200"/>
      <c r="AR607" s="204"/>
      <c r="AS607" s="204"/>
      <c r="AT607" s="204"/>
      <c r="AU607" s="204"/>
      <c r="AV607" s="204"/>
    </row>
    <row r="608" spans="1:48" ht="12" customHeight="1">
      <c r="A608" s="24"/>
      <c r="B608" s="24"/>
      <c r="C608" s="24"/>
      <c r="D608" s="24"/>
      <c r="E608" s="24"/>
      <c r="F608" s="24"/>
      <c r="G608" s="24"/>
      <c r="H608" s="393"/>
      <c r="I608" s="465"/>
      <c r="J608" s="281">
        <v>3</v>
      </c>
      <c r="K608" s="2" t="s">
        <v>224</v>
      </c>
      <c r="L608" s="112">
        <f t="shared" ref="L608:AD610" si="409">L609</f>
        <v>0</v>
      </c>
      <c r="M608" s="112">
        <f t="shared" si="409"/>
        <v>0</v>
      </c>
      <c r="N608" s="113">
        <f t="shared" si="409"/>
        <v>0</v>
      </c>
      <c r="O608" s="113">
        <f t="shared" si="409"/>
        <v>0</v>
      </c>
      <c r="P608" s="114">
        <f t="shared" si="409"/>
        <v>4000</v>
      </c>
      <c r="Q608" s="114">
        <f t="shared" si="409"/>
        <v>0</v>
      </c>
      <c r="R608" s="88">
        <f t="shared" si="409"/>
        <v>0</v>
      </c>
      <c r="S608" s="90" t="e">
        <f t="shared" ca="1" si="409"/>
        <v>#NAME?</v>
      </c>
      <c r="T608" s="90"/>
      <c r="U608" s="90"/>
      <c r="V608" s="200">
        <f>V609</f>
        <v>0</v>
      </c>
      <c r="W608" s="200">
        <f t="shared" si="409"/>
        <v>0</v>
      </c>
      <c r="X608" s="88">
        <f t="shared" si="409"/>
        <v>4000</v>
      </c>
      <c r="Y608" s="171">
        <f t="shared" si="409"/>
        <v>4000</v>
      </c>
      <c r="Z608" s="171">
        <f t="shared" si="409"/>
        <v>0</v>
      </c>
      <c r="AA608" s="370" t="e">
        <f t="shared" ca="1" si="380"/>
        <v>#NAME?</v>
      </c>
      <c r="AB608" s="171"/>
      <c r="AC608" s="172">
        <f t="shared" si="409"/>
        <v>5000</v>
      </c>
      <c r="AD608" s="172">
        <f t="shared" si="409"/>
        <v>5000</v>
      </c>
      <c r="AE608" s="178"/>
      <c r="AF608" s="178"/>
      <c r="AG608" s="178"/>
      <c r="AH608" s="178"/>
      <c r="AI608" s="171"/>
      <c r="AJ608" s="171">
        <v>4000</v>
      </c>
      <c r="AK608" s="171"/>
      <c r="AL608" s="171"/>
      <c r="AM608" s="171">
        <f t="shared" si="404"/>
        <v>100</v>
      </c>
      <c r="AN608" s="90"/>
      <c r="AO608" s="193"/>
      <c r="AP608" s="193" t="e">
        <f t="shared" ca="1" si="408"/>
        <v>#NAME?</v>
      </c>
      <c r="AQ608" s="200">
        <f>AQ609</f>
        <v>0</v>
      </c>
      <c r="AR608" s="204"/>
      <c r="AS608" s="204"/>
      <c r="AT608" s="204"/>
      <c r="AU608" s="204"/>
      <c r="AV608" s="204"/>
    </row>
    <row r="609" spans="1:48" ht="12" customHeight="1">
      <c r="A609" s="301"/>
      <c r="B609" s="301"/>
      <c r="C609" s="301"/>
      <c r="D609" s="301"/>
      <c r="E609" s="301"/>
      <c r="F609" s="301"/>
      <c r="G609" s="301"/>
      <c r="H609" s="307"/>
      <c r="I609" s="350"/>
      <c r="J609" s="302">
        <v>38</v>
      </c>
      <c r="K609" s="343" t="s">
        <v>285</v>
      </c>
      <c r="L609" s="112">
        <f t="shared" si="409"/>
        <v>0</v>
      </c>
      <c r="M609" s="112">
        <f t="shared" si="409"/>
        <v>0</v>
      </c>
      <c r="N609" s="113">
        <f t="shared" si="409"/>
        <v>0</v>
      </c>
      <c r="O609" s="113">
        <f t="shared" si="409"/>
        <v>0</v>
      </c>
      <c r="P609" s="114">
        <f t="shared" si="409"/>
        <v>4000</v>
      </c>
      <c r="Q609" s="114">
        <f t="shared" si="409"/>
        <v>0</v>
      </c>
      <c r="R609" s="88">
        <f t="shared" si="409"/>
        <v>0</v>
      </c>
      <c r="S609" s="90" t="e">
        <f t="shared" ca="1" si="409"/>
        <v>#NAME?</v>
      </c>
      <c r="T609" s="90"/>
      <c r="U609" s="90"/>
      <c r="V609" s="200">
        <f>V610</f>
        <v>0</v>
      </c>
      <c r="W609" s="200">
        <f t="shared" si="409"/>
        <v>0</v>
      </c>
      <c r="X609" s="88">
        <f t="shared" si="409"/>
        <v>4000</v>
      </c>
      <c r="Y609" s="171">
        <f t="shared" si="409"/>
        <v>4000</v>
      </c>
      <c r="Z609" s="171">
        <f t="shared" si="409"/>
        <v>0</v>
      </c>
      <c r="AA609" s="370" t="e">
        <f t="shared" ref="AA609:AA672" ca="1" si="410">__xlfn.ISFORMULA(R609)</f>
        <v>#NAME?</v>
      </c>
      <c r="AB609" s="171"/>
      <c r="AC609" s="172">
        <f t="shared" si="409"/>
        <v>5000</v>
      </c>
      <c r="AD609" s="172">
        <f t="shared" si="409"/>
        <v>5000</v>
      </c>
      <c r="AE609" s="178"/>
      <c r="AF609" s="178"/>
      <c r="AG609" s="178"/>
      <c r="AH609" s="178"/>
      <c r="AI609" s="171"/>
      <c r="AJ609" s="171">
        <v>4000</v>
      </c>
      <c r="AK609" s="171"/>
      <c r="AL609" s="171"/>
      <c r="AM609" s="171">
        <f t="shared" si="404"/>
        <v>100</v>
      </c>
      <c r="AN609" s="90"/>
      <c r="AO609" s="193"/>
      <c r="AP609" s="193" t="e">
        <f t="shared" ca="1" si="408"/>
        <v>#NAME?</v>
      </c>
      <c r="AQ609" s="200">
        <f>AQ610</f>
        <v>0</v>
      </c>
      <c r="AR609" s="204"/>
      <c r="AS609" s="204"/>
      <c r="AT609" s="204"/>
      <c r="AU609" s="204"/>
      <c r="AV609" s="204"/>
    </row>
    <row r="610" spans="1:48" ht="12" customHeight="1">
      <c r="A610" s="62"/>
      <c r="B610" s="62"/>
      <c r="C610" s="62"/>
      <c r="D610" s="62"/>
      <c r="E610" s="62"/>
      <c r="F610" s="62"/>
      <c r="G610" s="62"/>
      <c r="H610" s="304"/>
      <c r="I610" s="464"/>
      <c r="J610" s="303">
        <v>382</v>
      </c>
      <c r="K610" s="19" t="s">
        <v>534</v>
      </c>
      <c r="L610" s="112">
        <f t="shared" si="409"/>
        <v>0</v>
      </c>
      <c r="M610" s="112">
        <f t="shared" si="409"/>
        <v>0</v>
      </c>
      <c r="N610" s="113">
        <f t="shared" si="409"/>
        <v>0</v>
      </c>
      <c r="O610" s="113">
        <f t="shared" si="409"/>
        <v>0</v>
      </c>
      <c r="P610" s="114">
        <f t="shared" si="409"/>
        <v>4000</v>
      </c>
      <c r="Q610" s="114">
        <f t="shared" si="409"/>
        <v>0</v>
      </c>
      <c r="R610" s="88">
        <f t="shared" si="409"/>
        <v>0</v>
      </c>
      <c r="S610" s="90" t="e">
        <f t="shared" ca="1" si="409"/>
        <v>#NAME?</v>
      </c>
      <c r="T610" s="90"/>
      <c r="U610" s="90"/>
      <c r="V610" s="200">
        <f>V611</f>
        <v>0</v>
      </c>
      <c r="W610" s="200">
        <f t="shared" si="409"/>
        <v>0</v>
      </c>
      <c r="X610" s="88">
        <f t="shared" si="409"/>
        <v>4000</v>
      </c>
      <c r="Y610" s="171">
        <f t="shared" si="409"/>
        <v>4000</v>
      </c>
      <c r="Z610" s="171">
        <f t="shared" si="409"/>
        <v>0</v>
      </c>
      <c r="AA610" s="370" t="e">
        <f t="shared" ca="1" si="410"/>
        <v>#NAME?</v>
      </c>
      <c r="AB610" s="171"/>
      <c r="AC610" s="172">
        <f t="shared" si="409"/>
        <v>5000</v>
      </c>
      <c r="AD610" s="172">
        <f t="shared" si="409"/>
        <v>5000</v>
      </c>
      <c r="AE610" s="178"/>
      <c r="AF610" s="178"/>
      <c r="AG610" s="178"/>
      <c r="AH610" s="178"/>
      <c r="AI610" s="171"/>
      <c r="AJ610" s="171">
        <v>4000</v>
      </c>
      <c r="AK610" s="171"/>
      <c r="AL610" s="171"/>
      <c r="AM610" s="171">
        <f t="shared" si="404"/>
        <v>100</v>
      </c>
      <c r="AN610" s="90"/>
      <c r="AO610" s="193"/>
      <c r="AP610" s="193" t="e">
        <f t="shared" ca="1" si="408"/>
        <v>#NAME?</v>
      </c>
      <c r="AQ610" s="200">
        <f>AQ611</f>
        <v>0</v>
      </c>
      <c r="AR610" s="204"/>
      <c r="AS610" s="204"/>
      <c r="AT610" s="204"/>
      <c r="AU610" s="204"/>
      <c r="AV610" s="204"/>
    </row>
    <row r="611" spans="1:48" ht="12" customHeight="1">
      <c r="A611" s="53"/>
      <c r="B611" s="53"/>
      <c r="C611" s="53"/>
      <c r="D611" s="53"/>
      <c r="E611" s="53"/>
      <c r="F611" s="53"/>
      <c r="G611" s="53"/>
      <c r="H611" s="1" t="s">
        <v>535</v>
      </c>
      <c r="I611" s="397">
        <v>473</v>
      </c>
      <c r="J611" s="229">
        <v>3821</v>
      </c>
      <c r="K611" s="18" t="s">
        <v>536</v>
      </c>
      <c r="L611" s="130">
        <v>0</v>
      </c>
      <c r="M611" s="130">
        <v>0</v>
      </c>
      <c r="N611" s="131">
        <v>0</v>
      </c>
      <c r="O611" s="131">
        <v>0</v>
      </c>
      <c r="P611" s="132">
        <v>4000</v>
      </c>
      <c r="Q611" s="163">
        <v>0</v>
      </c>
      <c r="R611" s="159">
        <v>0</v>
      </c>
      <c r="S611" s="165" t="e">
        <f ca="1">__xlfn.XLOOKUP(H611,[1]Izvršenje_proračuna_po_pozicija!$B$2:$B$153,[1]Izvršenje_proračuna_po_pozicija!$E$2:$E$153,0)</f>
        <v>#NAME?</v>
      </c>
      <c r="T611" s="165"/>
      <c r="U611" s="165"/>
      <c r="V611" s="200">
        <v>0</v>
      </c>
      <c r="W611" s="200">
        <v>0</v>
      </c>
      <c r="X611" s="164">
        <v>4000</v>
      </c>
      <c r="Y611" s="378">
        <v>4000</v>
      </c>
      <c r="Z611" s="378"/>
      <c r="AA611" s="370" t="e">
        <f t="shared" ca="1" si="410"/>
        <v>#NAME?</v>
      </c>
      <c r="AB611" s="183"/>
      <c r="AC611" s="178">
        <v>5000</v>
      </c>
      <c r="AD611" s="178">
        <v>5000</v>
      </c>
      <c r="AE611" s="178"/>
      <c r="AF611" s="178"/>
      <c r="AG611" s="178"/>
      <c r="AH611" s="178"/>
      <c r="AI611" s="183"/>
      <c r="AJ611" s="378">
        <v>4000</v>
      </c>
      <c r="AK611" s="171"/>
      <c r="AL611" s="171"/>
      <c r="AM611" s="171">
        <f t="shared" si="404"/>
        <v>100</v>
      </c>
      <c r="AN611" s="165"/>
      <c r="AO611" s="193"/>
      <c r="AP611" s="193" t="e">
        <f t="shared" ca="1" si="408"/>
        <v>#NAME?</v>
      </c>
      <c r="AQ611" s="200"/>
      <c r="AR611" s="204"/>
      <c r="AS611" s="204"/>
      <c r="AT611" s="204"/>
      <c r="AU611" s="204"/>
      <c r="AV611" s="204"/>
    </row>
    <row r="612" spans="1:48" ht="12" customHeight="1">
      <c r="A612" s="42"/>
      <c r="B612" s="42"/>
      <c r="C612" s="42"/>
      <c r="D612" s="42"/>
      <c r="E612" s="42"/>
      <c r="F612" s="42"/>
      <c r="G612" s="42"/>
      <c r="H612" s="308"/>
      <c r="I612" s="14"/>
      <c r="J612" s="2"/>
      <c r="K612" s="281"/>
      <c r="L612" s="85"/>
      <c r="M612" s="85"/>
      <c r="N612" s="86"/>
      <c r="O612" s="86"/>
      <c r="P612" s="87"/>
      <c r="Q612" s="87"/>
      <c r="R612" s="160"/>
      <c r="S612" s="165" t="e">
        <f ca="1">__xlfn.XLOOKUP(H612,[1]Izvršenje_proračuna_po_pozicija!$B$2:$B$153,[1]Izvršenje_proračuna_po_pozicija!$E$2:$E$153,0)</f>
        <v>#NAME?</v>
      </c>
      <c r="T612" s="165"/>
      <c r="U612" s="165"/>
      <c r="V612" s="200"/>
      <c r="W612" s="200"/>
      <c r="X612" s="361"/>
      <c r="Y612" s="373"/>
      <c r="Z612" s="373"/>
      <c r="AA612" s="370" t="e">
        <f t="shared" ca="1" si="410"/>
        <v>#NAME?</v>
      </c>
      <c r="AB612" s="181"/>
      <c r="AC612" s="182"/>
      <c r="AD612" s="182"/>
      <c r="AE612" s="178"/>
      <c r="AF612" s="178"/>
      <c r="AG612" s="178"/>
      <c r="AH612" s="178"/>
      <c r="AI612" s="181"/>
      <c r="AJ612" s="373"/>
      <c r="AK612" s="171"/>
      <c r="AL612" s="171"/>
      <c r="AM612" s="171"/>
      <c r="AN612" s="161"/>
      <c r="AO612" s="193"/>
      <c r="AP612" s="193" t="e">
        <f t="shared" ca="1" si="408"/>
        <v>#NAME?</v>
      </c>
      <c r="AQ612" s="200"/>
      <c r="AR612" s="204"/>
      <c r="AS612" s="204"/>
      <c r="AT612" s="204"/>
      <c r="AU612" s="204"/>
      <c r="AV612" s="204"/>
    </row>
    <row r="613" spans="1:48" ht="12" customHeight="1">
      <c r="A613" s="462"/>
      <c r="B613" s="462"/>
      <c r="C613" s="462"/>
      <c r="D613" s="462"/>
      <c r="E613" s="462"/>
      <c r="F613" s="462"/>
      <c r="G613" s="462"/>
      <c r="H613" s="446"/>
      <c r="I613" s="450" t="s">
        <v>537</v>
      </c>
      <c r="J613" s="451"/>
      <c r="K613" s="452"/>
      <c r="L613" s="335">
        <f t="shared" ref="L613:S613" si="411">L614+L628+L647</f>
        <v>881928</v>
      </c>
      <c r="M613" s="335">
        <f t="shared" si="411"/>
        <v>117051.96097949432</v>
      </c>
      <c r="N613" s="336">
        <f t="shared" si="411"/>
        <v>1340707</v>
      </c>
      <c r="O613" s="336">
        <f t="shared" si="411"/>
        <v>177942.39830114806</v>
      </c>
      <c r="P613" s="337">
        <f t="shared" si="411"/>
        <v>395400</v>
      </c>
      <c r="Q613" s="337">
        <f t="shared" si="411"/>
        <v>191600</v>
      </c>
      <c r="R613" s="359">
        <f t="shared" si="411"/>
        <v>136899</v>
      </c>
      <c r="S613" s="360" t="e">
        <f t="shared" ca="1" si="411"/>
        <v>#NAME?</v>
      </c>
      <c r="T613" s="360"/>
      <c r="U613" s="360"/>
      <c r="V613" s="200">
        <f>V614+V628+V647</f>
        <v>102500</v>
      </c>
      <c r="W613" s="200">
        <f>W614+W628+W647</f>
        <v>102500</v>
      </c>
      <c r="X613" s="359">
        <f>X614+X628+X647</f>
        <v>235000</v>
      </c>
      <c r="Y613" s="371">
        <f>Y614+Y628+Y647</f>
        <v>264000</v>
      </c>
      <c r="Z613" s="371">
        <f>Z614+Z628+Z647</f>
        <v>0</v>
      </c>
      <c r="AA613" s="370" t="e">
        <f t="shared" ca="1" si="410"/>
        <v>#NAME?</v>
      </c>
      <c r="AB613" s="371"/>
      <c r="AC613" s="371">
        <f>AC614+AC628+AC647</f>
        <v>334000</v>
      </c>
      <c r="AD613" s="371">
        <f>AD614+AD628+AD647</f>
        <v>334000</v>
      </c>
      <c r="AE613" s="178">
        <f>O613/M613*100</f>
        <v>152.02000616830401</v>
      </c>
      <c r="AF613" s="178">
        <f>P613/O613*100</f>
        <v>222.20673868339614</v>
      </c>
      <c r="AG613" s="178">
        <f>Q613/P613*100</f>
        <v>48.457258472432976</v>
      </c>
      <c r="AH613" s="178">
        <f>AC613/Q613*100</f>
        <v>174.32150313152403</v>
      </c>
      <c r="AI613" s="371"/>
      <c r="AJ613" s="371">
        <v>264000</v>
      </c>
      <c r="AK613" s="171">
        <f>W613/R613*100</f>
        <v>74.872716382150344</v>
      </c>
      <c r="AL613" s="171">
        <f t="shared" ref="AL613:AL655" si="412">X613/W613*100</f>
        <v>229.26829268292681</v>
      </c>
      <c r="AM613" s="171">
        <f t="shared" si="404"/>
        <v>112.3404255319149</v>
      </c>
      <c r="AN613" s="360"/>
      <c r="AO613" s="193"/>
      <c r="AP613" s="193" t="e">
        <f t="shared" ca="1" si="408"/>
        <v>#NAME?</v>
      </c>
      <c r="AQ613" s="200">
        <f>AQ614+AQ628+AQ647</f>
        <v>124502.3</v>
      </c>
      <c r="AR613" s="204">
        <f>V613/R613*100</f>
        <v>74.872716382150344</v>
      </c>
      <c r="AS613" s="204">
        <f>W613/V613*100</f>
        <v>100</v>
      </c>
      <c r="AT613" s="204">
        <f>W613/R613*100</f>
        <v>74.872716382150344</v>
      </c>
      <c r="AU613" s="204">
        <f>AQ613/W613*100</f>
        <v>121.46565853658538</v>
      </c>
      <c r="AV613" s="204">
        <f>AQ613/R613*100</f>
        <v>90.944638017808757</v>
      </c>
    </row>
    <row r="614" spans="1:48" ht="12" customHeight="1">
      <c r="A614" s="390" t="s">
        <v>331</v>
      </c>
      <c r="B614" s="391"/>
      <c r="C614" s="391"/>
      <c r="D614" s="391"/>
      <c r="E614" s="391"/>
      <c r="F614" s="391"/>
      <c r="G614" s="391"/>
      <c r="H614" s="392"/>
      <c r="I614" s="453" t="s">
        <v>538</v>
      </c>
      <c r="J614" s="454"/>
      <c r="K614" s="124"/>
      <c r="L614" s="112">
        <f t="shared" ref="L614:S614" si="413">L616</f>
        <v>553069</v>
      </c>
      <c r="M614" s="112">
        <f t="shared" si="413"/>
        <v>73404.870927068812</v>
      </c>
      <c r="N614" s="113">
        <f t="shared" si="413"/>
        <v>231250</v>
      </c>
      <c r="O614" s="113">
        <f t="shared" si="413"/>
        <v>30692.149445882274</v>
      </c>
      <c r="P614" s="114">
        <f t="shared" si="413"/>
        <v>84000</v>
      </c>
      <c r="Q614" s="114">
        <f t="shared" si="413"/>
        <v>84000</v>
      </c>
      <c r="R614" s="88">
        <f t="shared" si="413"/>
        <v>31964</v>
      </c>
      <c r="S614" s="90" t="e">
        <f t="shared" ca="1" si="413"/>
        <v>#NAME?</v>
      </c>
      <c r="T614" s="90"/>
      <c r="U614" s="90"/>
      <c r="V614" s="200">
        <f>V616</f>
        <v>81000</v>
      </c>
      <c r="W614" s="200">
        <f>W616</f>
        <v>81000</v>
      </c>
      <c r="X614" s="88">
        <f>X616</f>
        <v>90000</v>
      </c>
      <c r="Y614" s="171">
        <f>Y616</f>
        <v>109000</v>
      </c>
      <c r="Z614" s="171">
        <f>Z616</f>
        <v>0</v>
      </c>
      <c r="AA614" s="370" t="e">
        <f t="shared" ca="1" si="410"/>
        <v>#NAME?</v>
      </c>
      <c r="AB614" s="171"/>
      <c r="AC614" s="172">
        <f>AC616</f>
        <v>89000</v>
      </c>
      <c r="AD614" s="172">
        <f>AD616</f>
        <v>89000</v>
      </c>
      <c r="AE614" s="178">
        <f>O614/M614*100</f>
        <v>41.812142788693635</v>
      </c>
      <c r="AF614" s="178">
        <f>P614/O614*100</f>
        <v>273.68562162162164</v>
      </c>
      <c r="AG614" s="178">
        <f>Q614/P614*100</f>
        <v>100</v>
      </c>
      <c r="AH614" s="178">
        <f>AC614/Q614*100</f>
        <v>105.95238095238095</v>
      </c>
      <c r="AI614" s="171"/>
      <c r="AJ614" s="171">
        <v>109000</v>
      </c>
      <c r="AK614" s="171">
        <f>W614/R614*100</f>
        <v>253.41008634714055</v>
      </c>
      <c r="AL614" s="171">
        <f t="shared" si="412"/>
        <v>111.11111111111111</v>
      </c>
      <c r="AM614" s="171">
        <f t="shared" si="404"/>
        <v>121.1111111111111</v>
      </c>
      <c r="AN614" s="90"/>
      <c r="AO614" s="193"/>
      <c r="AP614" s="193" t="e">
        <f t="shared" ca="1" si="408"/>
        <v>#NAME?</v>
      </c>
      <c r="AQ614" s="200">
        <f>AQ616</f>
        <v>63664.800000000003</v>
      </c>
      <c r="AR614" s="204">
        <f>V614/R614*100</f>
        <v>253.41008634714055</v>
      </c>
      <c r="AS614" s="204">
        <f>W614/V614*100</f>
        <v>100</v>
      </c>
      <c r="AT614" s="204">
        <f>W614/R614*100</f>
        <v>253.41008634714055</v>
      </c>
      <c r="AU614" s="204">
        <f>AQ614/W614*100</f>
        <v>78.598518518518517</v>
      </c>
      <c r="AV614" s="204">
        <f>AQ614/R614*100</f>
        <v>199.17657364535103</v>
      </c>
    </row>
    <row r="615" spans="1:48" ht="12" customHeight="1">
      <c r="A615" s="53"/>
      <c r="B615" s="53"/>
      <c r="C615" s="53"/>
      <c r="D615" s="53"/>
      <c r="E615" s="53"/>
      <c r="F615" s="53"/>
      <c r="G615" s="53"/>
      <c r="H615" s="1"/>
      <c r="I615" s="345"/>
      <c r="J615" s="229"/>
      <c r="K615" s="18"/>
      <c r="L615" s="466"/>
      <c r="M615" s="466"/>
      <c r="N615" s="467"/>
      <c r="O615" s="467"/>
      <c r="P615" s="468"/>
      <c r="Q615" s="468"/>
      <c r="R615" s="282"/>
      <c r="S615" s="165" t="e">
        <f ca="1">__xlfn.XLOOKUP(H615,[1]Izvršenje_proračuna_po_pozicija!$B$2:$B$153,[1]Izvršenje_proračuna_po_pozicija!$E$2:$E$153,0)</f>
        <v>#NAME?</v>
      </c>
      <c r="T615" s="165"/>
      <c r="U615" s="165"/>
      <c r="V615" s="200"/>
      <c r="W615" s="200"/>
      <c r="X615" s="167"/>
      <c r="Y615" s="424"/>
      <c r="Z615" s="424"/>
      <c r="AA615" s="370" t="e">
        <f t="shared" ca="1" si="410"/>
        <v>#NAME?</v>
      </c>
      <c r="AB615" s="223"/>
      <c r="AC615" s="224"/>
      <c r="AD615" s="224"/>
      <c r="AE615" s="178"/>
      <c r="AF615" s="178"/>
      <c r="AG615" s="178"/>
      <c r="AH615" s="178"/>
      <c r="AI615" s="223"/>
      <c r="AJ615" s="424"/>
      <c r="AK615" s="171"/>
      <c r="AL615" s="171"/>
      <c r="AM615" s="171"/>
      <c r="AN615" s="222"/>
      <c r="AO615" s="193"/>
      <c r="AP615" s="193" t="e">
        <f t="shared" ca="1" si="408"/>
        <v>#NAME?</v>
      </c>
      <c r="AQ615" s="200"/>
      <c r="AR615" s="204"/>
      <c r="AS615" s="204"/>
      <c r="AT615" s="204"/>
      <c r="AU615" s="204"/>
      <c r="AV615" s="204"/>
    </row>
    <row r="616" spans="1:48" ht="12" customHeight="1">
      <c r="A616" s="24"/>
      <c r="B616" s="24"/>
      <c r="C616" s="24"/>
      <c r="D616" s="24"/>
      <c r="E616" s="24"/>
      <c r="F616" s="24"/>
      <c r="G616" s="24"/>
      <c r="H616" s="393"/>
      <c r="I616" s="404"/>
      <c r="J616" s="281">
        <v>3</v>
      </c>
      <c r="K616" s="2" t="s">
        <v>224</v>
      </c>
      <c r="L616" s="112">
        <f t="shared" ref="L616:AD617" si="414">L617</f>
        <v>553069</v>
      </c>
      <c r="M616" s="112">
        <f t="shared" si="414"/>
        <v>73404.870927068812</v>
      </c>
      <c r="N616" s="113">
        <f t="shared" si="414"/>
        <v>231250</v>
      </c>
      <c r="O616" s="113">
        <f t="shared" si="414"/>
        <v>30692.149445882274</v>
      </c>
      <c r="P616" s="114">
        <f t="shared" si="414"/>
        <v>84000</v>
      </c>
      <c r="Q616" s="114">
        <f t="shared" si="414"/>
        <v>84000</v>
      </c>
      <c r="R616" s="88">
        <f t="shared" si="414"/>
        <v>31964</v>
      </c>
      <c r="S616" s="90" t="e">
        <f t="shared" ca="1" si="414"/>
        <v>#NAME?</v>
      </c>
      <c r="T616" s="90"/>
      <c r="U616" s="90"/>
      <c r="V616" s="200">
        <f>V617</f>
        <v>81000</v>
      </c>
      <c r="W616" s="200">
        <f t="shared" si="414"/>
        <v>81000</v>
      </c>
      <c r="X616" s="88">
        <f t="shared" si="414"/>
        <v>90000</v>
      </c>
      <c r="Y616" s="171">
        <f t="shared" si="414"/>
        <v>109000</v>
      </c>
      <c r="Z616" s="171">
        <f t="shared" si="414"/>
        <v>0</v>
      </c>
      <c r="AA616" s="370" t="e">
        <f t="shared" ca="1" si="410"/>
        <v>#NAME?</v>
      </c>
      <c r="AB616" s="171"/>
      <c r="AC616" s="172">
        <f t="shared" si="414"/>
        <v>89000</v>
      </c>
      <c r="AD616" s="172">
        <f t="shared" si="414"/>
        <v>89000</v>
      </c>
      <c r="AE616" s="178">
        <f t="shared" ref="AE616:AE623" si="415">O616/M616*100</f>
        <v>41.812142788693635</v>
      </c>
      <c r="AF616" s="178">
        <f t="shared" ref="AF616:AG620" si="416">P616/O616*100</f>
        <v>273.68562162162164</v>
      </c>
      <c r="AG616" s="178">
        <f t="shared" si="416"/>
        <v>100</v>
      </c>
      <c r="AH616" s="178">
        <f t="shared" ref="AH616:AH623" si="417">AC616/Q616*100</f>
        <v>105.95238095238095</v>
      </c>
      <c r="AI616" s="171"/>
      <c r="AJ616" s="171">
        <v>109000</v>
      </c>
      <c r="AK616" s="171">
        <f>W616/R616*100</f>
        <v>253.41008634714055</v>
      </c>
      <c r="AL616" s="171">
        <f t="shared" si="412"/>
        <v>111.11111111111111</v>
      </c>
      <c r="AM616" s="171">
        <f t="shared" si="404"/>
        <v>121.1111111111111</v>
      </c>
      <c r="AN616" s="90"/>
      <c r="AO616" s="193"/>
      <c r="AP616" s="193" t="e">
        <f t="shared" ca="1" si="408"/>
        <v>#NAME?</v>
      </c>
      <c r="AQ616" s="200">
        <f>AQ617</f>
        <v>63664.800000000003</v>
      </c>
      <c r="AR616" s="204">
        <f>V616/R616*100</f>
        <v>253.41008634714055</v>
      </c>
      <c r="AS616" s="204">
        <f t="shared" ref="AS616:AS623" si="418">W616/V616*100</f>
        <v>100</v>
      </c>
      <c r="AT616" s="204">
        <f>W616/R616*100</f>
        <v>253.41008634714055</v>
      </c>
      <c r="AU616" s="204">
        <f t="shared" ref="AU616:AU623" si="419">AQ616/W616*100</f>
        <v>78.598518518518517</v>
      </c>
      <c r="AV616" s="204">
        <f>AQ616/R616*100</f>
        <v>199.17657364535103</v>
      </c>
    </row>
    <row r="617" spans="1:48" ht="12" customHeight="1">
      <c r="A617" s="301"/>
      <c r="B617" s="301"/>
      <c r="C617" s="301"/>
      <c r="D617" s="301"/>
      <c r="E617" s="301"/>
      <c r="F617" s="301"/>
      <c r="G617" s="301"/>
      <c r="H617" s="307"/>
      <c r="I617" s="405"/>
      <c r="J617" s="302">
        <v>32</v>
      </c>
      <c r="K617" s="343" t="s">
        <v>233</v>
      </c>
      <c r="L617" s="112">
        <f t="shared" si="414"/>
        <v>553069</v>
      </c>
      <c r="M617" s="112">
        <f t="shared" si="414"/>
        <v>73404.870927068812</v>
      </c>
      <c r="N617" s="113">
        <f t="shared" si="414"/>
        <v>231250</v>
      </c>
      <c r="O617" s="113">
        <f t="shared" si="414"/>
        <v>30692.149445882274</v>
      </c>
      <c r="P617" s="114">
        <f t="shared" si="414"/>
        <v>84000</v>
      </c>
      <c r="Q617" s="114">
        <f t="shared" si="414"/>
        <v>84000</v>
      </c>
      <c r="R617" s="88">
        <f t="shared" si="414"/>
        <v>31964</v>
      </c>
      <c r="S617" s="90" t="e">
        <f t="shared" ca="1" si="414"/>
        <v>#NAME?</v>
      </c>
      <c r="T617" s="90"/>
      <c r="U617" s="90"/>
      <c r="V617" s="200">
        <f>V618</f>
        <v>81000</v>
      </c>
      <c r="W617" s="200">
        <f t="shared" si="414"/>
        <v>81000</v>
      </c>
      <c r="X617" s="88">
        <f t="shared" si="414"/>
        <v>90000</v>
      </c>
      <c r="Y617" s="171">
        <f t="shared" si="414"/>
        <v>109000</v>
      </c>
      <c r="Z617" s="171">
        <f t="shared" si="414"/>
        <v>0</v>
      </c>
      <c r="AA617" s="370" t="e">
        <f t="shared" ca="1" si="410"/>
        <v>#NAME?</v>
      </c>
      <c r="AB617" s="171"/>
      <c r="AC617" s="172">
        <f t="shared" si="414"/>
        <v>89000</v>
      </c>
      <c r="AD617" s="172">
        <f t="shared" si="414"/>
        <v>89000</v>
      </c>
      <c r="AE617" s="178">
        <f t="shared" si="415"/>
        <v>41.812142788693635</v>
      </c>
      <c r="AF617" s="178">
        <f t="shared" si="416"/>
        <v>273.68562162162164</v>
      </c>
      <c r="AG617" s="178">
        <f t="shared" si="416"/>
        <v>100</v>
      </c>
      <c r="AH617" s="178">
        <f t="shared" si="417"/>
        <v>105.95238095238095</v>
      </c>
      <c r="AI617" s="171"/>
      <c r="AJ617" s="171">
        <v>109000</v>
      </c>
      <c r="AK617" s="171">
        <f>W617/R617*100</f>
        <v>253.41008634714055</v>
      </c>
      <c r="AL617" s="171">
        <f t="shared" si="412"/>
        <v>111.11111111111111</v>
      </c>
      <c r="AM617" s="171">
        <f t="shared" si="404"/>
        <v>121.1111111111111</v>
      </c>
      <c r="AN617" s="90"/>
      <c r="AO617" s="193"/>
      <c r="AP617" s="193" t="e">
        <f t="shared" ca="1" si="408"/>
        <v>#NAME?</v>
      </c>
      <c r="AQ617" s="200">
        <f>AQ618</f>
        <v>63664.800000000003</v>
      </c>
      <c r="AR617" s="204">
        <f>V617/R617*100</f>
        <v>253.41008634714055</v>
      </c>
      <c r="AS617" s="204">
        <f t="shared" si="418"/>
        <v>100</v>
      </c>
      <c r="AT617" s="204">
        <f>W617/R617*100</f>
        <v>253.41008634714055</v>
      </c>
      <c r="AU617" s="204">
        <f t="shared" si="419"/>
        <v>78.598518518518517</v>
      </c>
      <c r="AV617" s="204">
        <f>AQ617/R617*100</f>
        <v>199.17657364535103</v>
      </c>
    </row>
    <row r="618" spans="1:48" ht="12" customHeight="1">
      <c r="A618" s="62"/>
      <c r="B618" s="62"/>
      <c r="C618" s="62"/>
      <c r="D618" s="62"/>
      <c r="E618" s="62"/>
      <c r="F618" s="62"/>
      <c r="G618" s="62"/>
      <c r="H618" s="304"/>
      <c r="I618" s="346"/>
      <c r="J618" s="303">
        <v>323</v>
      </c>
      <c r="K618" s="19" t="s">
        <v>356</v>
      </c>
      <c r="L618" s="112">
        <f t="shared" ref="L618:S618" si="420">L619+L625+L626</f>
        <v>553069</v>
      </c>
      <c r="M618" s="112">
        <f t="shared" si="420"/>
        <v>73404.870927068812</v>
      </c>
      <c r="N618" s="113">
        <f t="shared" si="420"/>
        <v>231250</v>
      </c>
      <c r="O618" s="113">
        <f t="shared" si="420"/>
        <v>30692.149445882274</v>
      </c>
      <c r="P618" s="114">
        <f t="shared" si="420"/>
        <v>84000</v>
      </c>
      <c r="Q618" s="114">
        <f t="shared" si="420"/>
        <v>84000</v>
      </c>
      <c r="R618" s="88">
        <f t="shared" si="420"/>
        <v>31964</v>
      </c>
      <c r="S618" s="90" t="e">
        <f t="shared" ca="1" si="420"/>
        <v>#NAME?</v>
      </c>
      <c r="T618" s="90"/>
      <c r="U618" s="90"/>
      <c r="V618" s="200">
        <f>V619+V625+V626</f>
        <v>81000</v>
      </c>
      <c r="W618" s="200">
        <f>W619+W625+W626</f>
        <v>81000</v>
      </c>
      <c r="X618" s="88">
        <f>X619+X625+X626</f>
        <v>90000</v>
      </c>
      <c r="Y618" s="171">
        <f>Y619+Y625+Y626</f>
        <v>109000</v>
      </c>
      <c r="Z618" s="171">
        <f>Z619+Z625+Z626</f>
        <v>0</v>
      </c>
      <c r="AA618" s="370" t="e">
        <f t="shared" ca="1" si="410"/>
        <v>#NAME?</v>
      </c>
      <c r="AB618" s="171"/>
      <c r="AC618" s="172">
        <f>AC619+AC625+AC626</f>
        <v>89000</v>
      </c>
      <c r="AD618" s="172">
        <f>AD619+AD625+AD626</f>
        <v>89000</v>
      </c>
      <c r="AE618" s="178">
        <f t="shared" si="415"/>
        <v>41.812142788693635</v>
      </c>
      <c r="AF618" s="178">
        <f t="shared" si="416"/>
        <v>273.68562162162164</v>
      </c>
      <c r="AG618" s="178">
        <f t="shared" si="416"/>
        <v>100</v>
      </c>
      <c r="AH618" s="178">
        <f t="shared" si="417"/>
        <v>105.95238095238095</v>
      </c>
      <c r="AI618" s="171"/>
      <c r="AJ618" s="171">
        <v>109000</v>
      </c>
      <c r="AK618" s="171">
        <f>W618/R618*100</f>
        <v>253.41008634714055</v>
      </c>
      <c r="AL618" s="171">
        <f t="shared" si="412"/>
        <v>111.11111111111111</v>
      </c>
      <c r="AM618" s="171">
        <f t="shared" si="404"/>
        <v>121.1111111111111</v>
      </c>
      <c r="AN618" s="90"/>
      <c r="AO618" s="193"/>
      <c r="AP618" s="193" t="e">
        <f t="shared" ca="1" si="408"/>
        <v>#NAME?</v>
      </c>
      <c r="AQ618" s="200">
        <f>AQ619+AQ625+AQ626</f>
        <v>63664.800000000003</v>
      </c>
      <c r="AR618" s="204">
        <f>V618/R618*100</f>
        <v>253.41008634714055</v>
      </c>
      <c r="AS618" s="204">
        <f t="shared" si="418"/>
        <v>100</v>
      </c>
      <c r="AT618" s="204">
        <f>W618/R618*100</f>
        <v>253.41008634714055</v>
      </c>
      <c r="AU618" s="204">
        <f t="shared" si="419"/>
        <v>78.598518518518517</v>
      </c>
      <c r="AV618" s="204">
        <f>AQ618/R618*100</f>
        <v>199.17657364535103</v>
      </c>
    </row>
    <row r="619" spans="1:48" ht="12" customHeight="1">
      <c r="A619" s="53"/>
      <c r="B619" s="53"/>
      <c r="C619" s="53"/>
      <c r="D619" s="53"/>
      <c r="E619" s="53"/>
      <c r="F619" s="53"/>
      <c r="G619" s="53"/>
      <c r="H619" s="1"/>
      <c r="I619" s="345"/>
      <c r="J619" s="229">
        <v>3234</v>
      </c>
      <c r="K619" s="18" t="s">
        <v>250</v>
      </c>
      <c r="L619" s="112">
        <f t="shared" ref="L619:S619" si="421">L620+L621+L622+L623</f>
        <v>540850</v>
      </c>
      <c r="M619" s="112">
        <f t="shared" si="421"/>
        <v>71783.130931050502</v>
      </c>
      <c r="N619" s="113">
        <f t="shared" si="421"/>
        <v>231250</v>
      </c>
      <c r="O619" s="113">
        <f t="shared" si="421"/>
        <v>30692.149445882274</v>
      </c>
      <c r="P619" s="114">
        <f t="shared" si="421"/>
        <v>84000</v>
      </c>
      <c r="Q619" s="114">
        <f t="shared" si="421"/>
        <v>84000</v>
      </c>
      <c r="R619" s="88">
        <f t="shared" si="421"/>
        <v>31964</v>
      </c>
      <c r="S619" s="90" t="e">
        <f t="shared" ca="1" si="421"/>
        <v>#NAME?</v>
      </c>
      <c r="T619" s="90"/>
      <c r="U619" s="90"/>
      <c r="V619" s="200">
        <f>V620+V621+V622+V623</f>
        <v>81000</v>
      </c>
      <c r="W619" s="200">
        <f>W620+W621+W622+W623</f>
        <v>81000</v>
      </c>
      <c r="X619" s="88">
        <f>X620+X621+X622+X623</f>
        <v>90000</v>
      </c>
      <c r="Y619" s="171">
        <f>Y620+Y621+Y622+Y623</f>
        <v>109000</v>
      </c>
      <c r="Z619" s="171">
        <f>Z620+Z621+Z622+Z623</f>
        <v>0</v>
      </c>
      <c r="AA619" s="370" t="e">
        <f t="shared" ca="1" si="410"/>
        <v>#NAME?</v>
      </c>
      <c r="AB619" s="171"/>
      <c r="AC619" s="172">
        <f>AC620+AC621+AC622+AC623</f>
        <v>87000</v>
      </c>
      <c r="AD619" s="172">
        <f>AD620+AD621+AD622+AD623</f>
        <v>87000</v>
      </c>
      <c r="AE619" s="178">
        <f t="shared" si="415"/>
        <v>42.756771748174174</v>
      </c>
      <c r="AF619" s="178">
        <f t="shared" si="416"/>
        <v>273.68562162162164</v>
      </c>
      <c r="AG619" s="178">
        <f t="shared" si="416"/>
        <v>100</v>
      </c>
      <c r="AH619" s="178">
        <f t="shared" si="417"/>
        <v>103.57142857142858</v>
      </c>
      <c r="AI619" s="171"/>
      <c r="AJ619" s="171">
        <v>109000</v>
      </c>
      <c r="AK619" s="171">
        <f>W619/R619*100</f>
        <v>253.41008634714055</v>
      </c>
      <c r="AL619" s="171">
        <f t="shared" si="412"/>
        <v>111.11111111111111</v>
      </c>
      <c r="AM619" s="171">
        <f t="shared" si="404"/>
        <v>121.1111111111111</v>
      </c>
      <c r="AN619" s="90"/>
      <c r="AO619" s="193"/>
      <c r="AP619" s="193" t="e">
        <f t="shared" ca="1" si="408"/>
        <v>#NAME?</v>
      </c>
      <c r="AQ619" s="200">
        <f>AQ620+AQ621+AQ622+AQ623</f>
        <v>63664.800000000003</v>
      </c>
      <c r="AR619" s="204">
        <f>V619/R619*100</f>
        <v>253.41008634714055</v>
      </c>
      <c r="AS619" s="204">
        <f t="shared" si="418"/>
        <v>100</v>
      </c>
      <c r="AT619" s="204">
        <f>W619/R619*100</f>
        <v>253.41008634714055</v>
      </c>
      <c r="AU619" s="204">
        <f t="shared" si="419"/>
        <v>78.598518518518517</v>
      </c>
      <c r="AV619" s="204">
        <f>AQ619/R619*100</f>
        <v>199.17657364535103</v>
      </c>
    </row>
    <row r="620" spans="1:48" ht="12" customHeight="1">
      <c r="A620" s="53"/>
      <c r="B620" s="53"/>
      <c r="C620" s="53"/>
      <c r="D620" s="53"/>
      <c r="E620" s="53"/>
      <c r="F620" s="53"/>
      <c r="G620" s="53"/>
      <c r="H620" s="1">
        <v>111</v>
      </c>
      <c r="I620" s="345">
        <v>510</v>
      </c>
      <c r="J620" s="229">
        <v>3234</v>
      </c>
      <c r="K620" s="18" t="s">
        <v>539</v>
      </c>
      <c r="L620" s="130">
        <v>127500</v>
      </c>
      <c r="M620" s="130">
        <f>127500/7.5345</f>
        <v>16922.158072864822</v>
      </c>
      <c r="N620" s="131">
        <v>132500</v>
      </c>
      <c r="O620" s="131">
        <f>N620/7.5345</f>
        <v>17585.77211493795</v>
      </c>
      <c r="P620" s="132">
        <v>18000</v>
      </c>
      <c r="Q620" s="132">
        <v>18000</v>
      </c>
      <c r="R620" s="159">
        <v>18111</v>
      </c>
      <c r="S620" s="165" t="e">
        <f ca="1">__xlfn.XLOOKUP(H620,[1]Izvršenje_proračuna_po_pozicija!$B$2:$B$153,[1]Izvršenje_proračuna_po_pozicija!$E$2:$E$153,0)</f>
        <v>#NAME?</v>
      </c>
      <c r="T620" s="165"/>
      <c r="U620" s="165"/>
      <c r="V620" s="200">
        <v>20000</v>
      </c>
      <c r="W620" s="200">
        <v>20000</v>
      </c>
      <c r="X620" s="164">
        <v>20000</v>
      </c>
      <c r="Y620" s="378">
        <v>25000</v>
      </c>
      <c r="Z620" s="378"/>
      <c r="AA620" s="370" t="e">
        <f t="shared" ca="1" si="410"/>
        <v>#NAME?</v>
      </c>
      <c r="AB620" s="183"/>
      <c r="AC620" s="178">
        <v>19000</v>
      </c>
      <c r="AD620" s="178">
        <v>19000</v>
      </c>
      <c r="AE620" s="178">
        <f t="shared" si="415"/>
        <v>103.92156862745097</v>
      </c>
      <c r="AF620" s="178">
        <f t="shared" si="416"/>
        <v>102.35547169811321</v>
      </c>
      <c r="AG620" s="178">
        <f t="shared" si="416"/>
        <v>100</v>
      </c>
      <c r="AH620" s="178">
        <f t="shared" si="417"/>
        <v>105.55555555555556</v>
      </c>
      <c r="AI620" s="183"/>
      <c r="AJ620" s="378">
        <v>25000</v>
      </c>
      <c r="AK620" s="171">
        <f>W620/R620*100</f>
        <v>110.43012533819225</v>
      </c>
      <c r="AL620" s="171">
        <f t="shared" si="412"/>
        <v>100</v>
      </c>
      <c r="AM620" s="171">
        <f t="shared" si="404"/>
        <v>125</v>
      </c>
      <c r="AN620" s="165"/>
      <c r="AO620" s="460"/>
      <c r="AP620" s="193" t="e">
        <f t="shared" ca="1" si="408"/>
        <v>#NAME?</v>
      </c>
      <c r="AQ620" s="200">
        <v>18111.25</v>
      </c>
      <c r="AR620" s="204">
        <f>V620/R620*100</f>
        <v>110.43012533819225</v>
      </c>
      <c r="AS620" s="204">
        <f t="shared" si="418"/>
        <v>100</v>
      </c>
      <c r="AT620" s="204">
        <f>W620/R620*100</f>
        <v>110.43012533819225</v>
      </c>
      <c r="AU620" s="204">
        <f t="shared" si="419"/>
        <v>90.556250000000006</v>
      </c>
      <c r="AV620" s="204">
        <f>AQ620/R620*100</f>
        <v>100.00138037656671</v>
      </c>
    </row>
    <row r="621" spans="1:48" ht="12" customHeight="1">
      <c r="A621" s="53"/>
      <c r="B621" s="53"/>
      <c r="C621" s="53"/>
      <c r="D621" s="53"/>
      <c r="E621" s="53"/>
      <c r="F621" s="53"/>
      <c r="G621" s="53"/>
      <c r="H621" s="1" t="s">
        <v>540</v>
      </c>
      <c r="I621" s="345">
        <v>510</v>
      </c>
      <c r="J621" s="229">
        <v>3234</v>
      </c>
      <c r="K621" s="18" t="s">
        <v>541</v>
      </c>
      <c r="L621" s="130">
        <v>299975</v>
      </c>
      <c r="M621" s="130">
        <f>299975/7.5345</f>
        <v>39813.524454177445</v>
      </c>
      <c r="N621" s="131">
        <v>0</v>
      </c>
      <c r="O621" s="131">
        <f>N621/7.5345</f>
        <v>0</v>
      </c>
      <c r="P621" s="132">
        <v>40000</v>
      </c>
      <c r="Q621" s="132">
        <v>40000</v>
      </c>
      <c r="R621" s="159">
        <v>0</v>
      </c>
      <c r="S621" s="165" t="e">
        <f ca="1">__xlfn.XLOOKUP(H621,[1]Izvršenje_proračuna_po_pozicija!$B$2:$B$153,[1]Izvršenje_proračuna_po_pozicija!$E$2:$E$153,0)</f>
        <v>#NAME?</v>
      </c>
      <c r="T621" s="165"/>
      <c r="U621" s="165"/>
      <c r="V621" s="200">
        <v>35000</v>
      </c>
      <c r="W621" s="200">
        <v>35000</v>
      </c>
      <c r="X621" s="164">
        <v>40000</v>
      </c>
      <c r="Y621" s="378">
        <v>50000</v>
      </c>
      <c r="Z621" s="378"/>
      <c r="AA621" s="370" t="e">
        <f t="shared" ca="1" si="410"/>
        <v>#NAME?</v>
      </c>
      <c r="AB621" s="183"/>
      <c r="AC621" s="178">
        <v>40000</v>
      </c>
      <c r="AD621" s="178">
        <v>40000</v>
      </c>
      <c r="AE621" s="178">
        <f t="shared" si="415"/>
        <v>0</v>
      </c>
      <c r="AF621" s="178"/>
      <c r="AG621" s="178">
        <f>Q621/P621*100</f>
        <v>100</v>
      </c>
      <c r="AH621" s="178">
        <f t="shared" si="417"/>
        <v>100</v>
      </c>
      <c r="AI621" s="183"/>
      <c r="AJ621" s="378">
        <v>50000</v>
      </c>
      <c r="AK621" s="171"/>
      <c r="AL621" s="171">
        <f t="shared" si="412"/>
        <v>114.28571428571428</v>
      </c>
      <c r="AM621" s="171">
        <f t="shared" si="404"/>
        <v>125</v>
      </c>
      <c r="AN621" s="165"/>
      <c r="AO621" s="460"/>
      <c r="AP621" s="193" t="e">
        <f t="shared" ca="1" si="408"/>
        <v>#NAME?</v>
      </c>
      <c r="AQ621" s="200">
        <v>34784.6</v>
      </c>
      <c r="AR621" s="204"/>
      <c r="AS621" s="204">
        <f t="shared" si="418"/>
        <v>100</v>
      </c>
      <c r="AT621" s="204"/>
      <c r="AU621" s="204">
        <f t="shared" si="419"/>
        <v>99.384571428571419</v>
      </c>
      <c r="AV621" s="204"/>
    </row>
    <row r="622" spans="1:48" ht="12" customHeight="1">
      <c r="A622" s="53"/>
      <c r="B622" s="53"/>
      <c r="C622" s="53"/>
      <c r="D622" s="53"/>
      <c r="E622" s="53"/>
      <c r="F622" s="53"/>
      <c r="G622" s="53"/>
      <c r="H622" s="1" t="s">
        <v>542</v>
      </c>
      <c r="I622" s="345">
        <v>510</v>
      </c>
      <c r="J622" s="229">
        <v>3234</v>
      </c>
      <c r="K622" s="18" t="s">
        <v>543</v>
      </c>
      <c r="L622" s="130">
        <v>94625</v>
      </c>
      <c r="M622" s="130">
        <f>94625/7.5345</f>
        <v>12558.895746233989</v>
      </c>
      <c r="N622" s="131">
        <v>80000</v>
      </c>
      <c r="O622" s="131">
        <f>N622/7.5345</f>
        <v>10617.824673170084</v>
      </c>
      <c r="P622" s="132">
        <v>13000</v>
      </c>
      <c r="Q622" s="132">
        <v>13000</v>
      </c>
      <c r="R622" s="159">
        <v>11364</v>
      </c>
      <c r="S622" s="165">
        <v>6912</v>
      </c>
      <c r="T622" s="165"/>
      <c r="U622" s="165"/>
      <c r="V622" s="200">
        <v>13000</v>
      </c>
      <c r="W622" s="200">
        <v>13000</v>
      </c>
      <c r="X622" s="164">
        <v>15000</v>
      </c>
      <c r="Y622" s="378">
        <v>17000</v>
      </c>
      <c r="Z622" s="378"/>
      <c r="AA622" s="370" t="e">
        <f t="shared" ca="1" si="410"/>
        <v>#NAME?</v>
      </c>
      <c r="AB622" s="183"/>
      <c r="AC622" s="178">
        <v>15000</v>
      </c>
      <c r="AD622" s="178">
        <v>15000</v>
      </c>
      <c r="AE622" s="178">
        <f t="shared" si="415"/>
        <v>84.544253632760899</v>
      </c>
      <c r="AF622" s="178">
        <f>P622/O622*100</f>
        <v>122.435625</v>
      </c>
      <c r="AG622" s="178">
        <f>Q622/P622*100</f>
        <v>100</v>
      </c>
      <c r="AH622" s="178">
        <f t="shared" si="417"/>
        <v>115.38461538461537</v>
      </c>
      <c r="AI622" s="183"/>
      <c r="AJ622" s="378">
        <v>17000</v>
      </c>
      <c r="AK622" s="171">
        <f>W622/R622*100</f>
        <v>114.39633931714187</v>
      </c>
      <c r="AL622" s="171">
        <f t="shared" si="412"/>
        <v>115.38461538461537</v>
      </c>
      <c r="AM622" s="171">
        <f t="shared" si="404"/>
        <v>113.33333333333333</v>
      </c>
      <c r="AN622" s="165"/>
      <c r="AO622" s="460"/>
      <c r="AP622" s="193" t="e">
        <f t="shared" ca="1" si="408"/>
        <v>#NAME?</v>
      </c>
      <c r="AQ622" s="200">
        <v>9068.9500000000007</v>
      </c>
      <c r="AR622" s="204">
        <f>V622/R622*100</f>
        <v>114.39633931714187</v>
      </c>
      <c r="AS622" s="204">
        <f t="shared" si="418"/>
        <v>100</v>
      </c>
      <c r="AT622" s="204">
        <f>W622/R622*100</f>
        <v>114.39633931714187</v>
      </c>
      <c r="AU622" s="204">
        <f t="shared" si="419"/>
        <v>69.76115384615386</v>
      </c>
      <c r="AV622" s="204">
        <f>AQ622/R622*100</f>
        <v>79.804206265399515</v>
      </c>
    </row>
    <row r="623" spans="1:48" ht="12" customHeight="1">
      <c r="A623" s="53"/>
      <c r="B623" s="53"/>
      <c r="C623" s="53"/>
      <c r="D623" s="53"/>
      <c r="E623" s="53"/>
      <c r="F623" s="53"/>
      <c r="G623" s="53"/>
      <c r="H623" s="1" t="s">
        <v>544</v>
      </c>
      <c r="I623" s="345">
        <v>510</v>
      </c>
      <c r="J623" s="229">
        <v>3234</v>
      </c>
      <c r="K623" s="18" t="s">
        <v>545</v>
      </c>
      <c r="L623" s="130">
        <v>18750</v>
      </c>
      <c r="M623" s="130">
        <f>18750/7.5345</f>
        <v>2488.5526577742385</v>
      </c>
      <c r="N623" s="131">
        <v>18750</v>
      </c>
      <c r="O623" s="131">
        <f>N623/7.5345</f>
        <v>2488.5526577742385</v>
      </c>
      <c r="P623" s="132">
        <v>13000</v>
      </c>
      <c r="Q623" s="132">
        <v>13000</v>
      </c>
      <c r="R623" s="159">
        <v>2489</v>
      </c>
      <c r="S623" s="165">
        <v>1700</v>
      </c>
      <c r="T623" s="165"/>
      <c r="U623" s="165"/>
      <c r="V623" s="200">
        <v>13000</v>
      </c>
      <c r="W623" s="200">
        <v>13000</v>
      </c>
      <c r="X623" s="164">
        <v>15000</v>
      </c>
      <c r="Y623" s="378">
        <v>17000</v>
      </c>
      <c r="Z623" s="378"/>
      <c r="AA623" s="370" t="e">
        <f t="shared" ca="1" si="410"/>
        <v>#NAME?</v>
      </c>
      <c r="AB623" s="183"/>
      <c r="AC623" s="178">
        <v>13000</v>
      </c>
      <c r="AD623" s="178">
        <v>13000</v>
      </c>
      <c r="AE623" s="178">
        <f t="shared" si="415"/>
        <v>100</v>
      </c>
      <c r="AF623" s="178">
        <f>P623/O623*100</f>
        <v>522.39199999999994</v>
      </c>
      <c r="AG623" s="178">
        <f>Q623/P623*100</f>
        <v>100</v>
      </c>
      <c r="AH623" s="178">
        <f t="shared" si="417"/>
        <v>100</v>
      </c>
      <c r="AI623" s="183"/>
      <c r="AJ623" s="378">
        <v>17000</v>
      </c>
      <c r="AK623" s="171">
        <f>W623/R623*100</f>
        <v>522.29811169144239</v>
      </c>
      <c r="AL623" s="171">
        <f t="shared" si="412"/>
        <v>115.38461538461537</v>
      </c>
      <c r="AM623" s="171">
        <f t="shared" si="404"/>
        <v>113.33333333333333</v>
      </c>
      <c r="AN623" s="165"/>
      <c r="AO623" s="193"/>
      <c r="AP623" s="193" t="e">
        <f t="shared" ca="1" si="408"/>
        <v>#NAME?</v>
      </c>
      <c r="AQ623" s="200">
        <v>1700</v>
      </c>
      <c r="AR623" s="204">
        <f>V623/R623*100</f>
        <v>522.29811169144239</v>
      </c>
      <c r="AS623" s="204">
        <f t="shared" si="418"/>
        <v>100</v>
      </c>
      <c r="AT623" s="204">
        <f>W623/R623*100</f>
        <v>522.29811169144239</v>
      </c>
      <c r="AU623" s="204">
        <f t="shared" si="419"/>
        <v>13.076923076923078</v>
      </c>
      <c r="AV623" s="204">
        <f>AQ623/R623*100</f>
        <v>68.300522298111687</v>
      </c>
    </row>
    <row r="624" spans="1:48" ht="12" customHeight="1">
      <c r="A624" s="42"/>
      <c r="B624" s="42"/>
      <c r="C624" s="42"/>
      <c r="D624" s="42"/>
      <c r="E624" s="42"/>
      <c r="F624" s="42"/>
      <c r="G624" s="42"/>
      <c r="H624" s="308"/>
      <c r="I624" s="14"/>
      <c r="J624" s="2"/>
      <c r="K624" s="84"/>
      <c r="L624" s="85">
        <v>1</v>
      </c>
      <c r="M624" s="85">
        <v>2</v>
      </c>
      <c r="N624" s="86">
        <v>3</v>
      </c>
      <c r="O624" s="86">
        <v>4</v>
      </c>
      <c r="P624" s="87">
        <v>5</v>
      </c>
      <c r="Q624" s="87">
        <v>6</v>
      </c>
      <c r="R624" s="160"/>
      <c r="S624" s="165" t="e">
        <f ca="1">__xlfn.XLOOKUP(H624,[1]Izvršenje_proračuna_po_pozicija!$B$2:$B$153,[1]Izvršenje_proračuna_po_pozicija!$E$2:$E$153,0)</f>
        <v>#NAME?</v>
      </c>
      <c r="T624" s="165"/>
      <c r="U624" s="165"/>
      <c r="V624" s="200"/>
      <c r="W624" s="200"/>
      <c r="X624" s="361"/>
      <c r="Y624" s="373"/>
      <c r="Z624" s="373"/>
      <c r="AA624" s="370" t="e">
        <f t="shared" ca="1" si="410"/>
        <v>#NAME?</v>
      </c>
      <c r="AB624" s="181"/>
      <c r="AC624" s="182">
        <v>7</v>
      </c>
      <c r="AD624" s="182">
        <v>8</v>
      </c>
      <c r="AE624" s="182">
        <v>9</v>
      </c>
      <c r="AF624" s="182">
        <v>10</v>
      </c>
      <c r="AG624" s="182">
        <v>11</v>
      </c>
      <c r="AH624" s="182">
        <v>12</v>
      </c>
      <c r="AI624" s="181"/>
      <c r="AJ624" s="373"/>
      <c r="AK624" s="171"/>
      <c r="AL624" s="171"/>
      <c r="AM624" s="171"/>
      <c r="AN624" s="161"/>
      <c r="AO624" s="193"/>
      <c r="AP624" s="193" t="e">
        <f t="shared" ca="1" si="408"/>
        <v>#NAME?</v>
      </c>
      <c r="AQ624" s="200"/>
      <c r="AR624" s="204"/>
      <c r="AS624" s="204"/>
      <c r="AT624" s="204"/>
      <c r="AU624" s="204"/>
      <c r="AV624" s="204"/>
    </row>
    <row r="625" spans="1:48" ht="12" customHeight="1">
      <c r="A625" s="53"/>
      <c r="B625" s="53"/>
      <c r="C625" s="53"/>
      <c r="D625" s="53"/>
      <c r="E625" s="53"/>
      <c r="F625" s="53"/>
      <c r="G625" s="53"/>
      <c r="H625" s="1" t="s">
        <v>546</v>
      </c>
      <c r="I625" s="345">
        <v>510</v>
      </c>
      <c r="J625" s="229">
        <v>3236</v>
      </c>
      <c r="K625" s="456" t="s">
        <v>547</v>
      </c>
      <c r="L625" s="130">
        <v>0</v>
      </c>
      <c r="M625" s="130">
        <v>0</v>
      </c>
      <c r="N625" s="131">
        <v>0</v>
      </c>
      <c r="O625" s="131">
        <v>0</v>
      </c>
      <c r="P625" s="132">
        <v>0</v>
      </c>
      <c r="Q625" s="132">
        <v>0</v>
      </c>
      <c r="R625" s="159">
        <v>0</v>
      </c>
      <c r="S625" s="165" t="e">
        <f ca="1">__xlfn.XLOOKUP(H625,[1]Izvršenje_proračuna_po_pozicija!$B$2:$B$153,[1]Izvršenje_proračuna_po_pozicija!$E$2:$E$153,0)</f>
        <v>#NAME?</v>
      </c>
      <c r="T625" s="165"/>
      <c r="U625" s="165"/>
      <c r="V625" s="200"/>
      <c r="W625" s="200"/>
      <c r="X625" s="164"/>
      <c r="Y625" s="378"/>
      <c r="Z625" s="378"/>
      <c r="AA625" s="370" t="e">
        <f t="shared" ca="1" si="410"/>
        <v>#NAME?</v>
      </c>
      <c r="AB625" s="183"/>
      <c r="AC625" s="178">
        <v>0</v>
      </c>
      <c r="AD625" s="178">
        <v>0</v>
      </c>
      <c r="AE625" s="178"/>
      <c r="AF625" s="178"/>
      <c r="AG625" s="178"/>
      <c r="AH625" s="178"/>
      <c r="AI625" s="183"/>
      <c r="AJ625" s="378"/>
      <c r="AK625" s="171"/>
      <c r="AL625" s="171"/>
      <c r="AM625" s="171"/>
      <c r="AN625" s="165"/>
      <c r="AO625" s="193"/>
      <c r="AP625" s="193" t="e">
        <f t="shared" ca="1" si="408"/>
        <v>#NAME?</v>
      </c>
      <c r="AQ625" s="200"/>
      <c r="AR625" s="204"/>
      <c r="AS625" s="204"/>
      <c r="AT625" s="204"/>
      <c r="AU625" s="204"/>
      <c r="AV625" s="204"/>
    </row>
    <row r="626" spans="1:48" ht="12" customHeight="1">
      <c r="A626" s="305"/>
      <c r="B626" s="305"/>
      <c r="C626" s="305"/>
      <c r="D626" s="305"/>
      <c r="E626" s="305"/>
      <c r="F626" s="305"/>
      <c r="G626" s="305"/>
      <c r="H626" s="463" t="s">
        <v>548</v>
      </c>
      <c r="I626" s="469">
        <v>510</v>
      </c>
      <c r="J626" s="229">
        <v>3239</v>
      </c>
      <c r="K626" s="54" t="s">
        <v>549</v>
      </c>
      <c r="L626" s="159">
        <v>12219</v>
      </c>
      <c r="M626" s="159">
        <f>12219/7.5345</f>
        <v>1621.7399960183157</v>
      </c>
      <c r="N626" s="470">
        <v>0</v>
      </c>
      <c r="O626" s="470">
        <v>0</v>
      </c>
      <c r="P626" s="165">
        <v>0</v>
      </c>
      <c r="Q626" s="165">
        <v>0</v>
      </c>
      <c r="R626" s="159">
        <v>0</v>
      </c>
      <c r="S626" s="165" t="e">
        <f ca="1">__xlfn.XLOOKUP(H626,[1]Izvršenje_proračuna_po_pozicija!$B$2:$B$153,[1]Izvršenje_proračuna_po_pozicija!$E$2:$E$153,0)</f>
        <v>#NAME?</v>
      </c>
      <c r="T626" s="165"/>
      <c r="U626" s="165"/>
      <c r="V626" s="200"/>
      <c r="W626" s="200"/>
      <c r="X626" s="164"/>
      <c r="Y626" s="378"/>
      <c r="Z626" s="378"/>
      <c r="AA626" s="370" t="e">
        <f t="shared" ca="1" si="410"/>
        <v>#NAME?</v>
      </c>
      <c r="AB626" s="183"/>
      <c r="AC626" s="178">
        <v>2000</v>
      </c>
      <c r="AD626" s="178">
        <v>2000</v>
      </c>
      <c r="AE626" s="178">
        <f>O626/M626*100</f>
        <v>0</v>
      </c>
      <c r="AF626" s="178"/>
      <c r="AG626" s="178"/>
      <c r="AH626" s="178"/>
      <c r="AI626" s="183"/>
      <c r="AJ626" s="378"/>
      <c r="AK626" s="171"/>
      <c r="AL626" s="171"/>
      <c r="AM626" s="171"/>
      <c r="AN626" s="165"/>
      <c r="AO626" s="193"/>
      <c r="AP626" s="193" t="e">
        <f t="shared" ca="1" si="408"/>
        <v>#NAME?</v>
      </c>
      <c r="AQ626" s="200"/>
      <c r="AR626" s="204"/>
      <c r="AS626" s="204"/>
      <c r="AT626" s="204"/>
      <c r="AU626" s="204"/>
      <c r="AV626" s="204"/>
    </row>
    <row r="627" spans="1:48" ht="12" customHeight="1">
      <c r="A627" s="42"/>
      <c r="B627" s="42"/>
      <c r="C627" s="42"/>
      <c r="D627" s="42"/>
      <c r="E627" s="42"/>
      <c r="F627" s="42"/>
      <c r="G627" s="42"/>
      <c r="H627" s="308"/>
      <c r="I627" s="14"/>
      <c r="J627" s="2"/>
      <c r="K627" s="84"/>
      <c r="L627" s="85"/>
      <c r="M627" s="85"/>
      <c r="N627" s="86"/>
      <c r="O627" s="86"/>
      <c r="P627" s="87"/>
      <c r="Q627" s="87"/>
      <c r="R627" s="160"/>
      <c r="S627" s="165" t="e">
        <f ca="1">__xlfn.XLOOKUP(H627,[1]Izvršenje_proračuna_po_pozicija!$B$2:$B$153,[1]Izvršenje_proračuna_po_pozicija!$E$2:$E$153,0)</f>
        <v>#NAME?</v>
      </c>
      <c r="T627" s="165"/>
      <c r="U627" s="165"/>
      <c r="V627" s="200"/>
      <c r="W627" s="200"/>
      <c r="X627" s="361"/>
      <c r="Y627" s="373"/>
      <c r="Z627" s="373"/>
      <c r="AA627" s="370" t="e">
        <f t="shared" ca="1" si="410"/>
        <v>#NAME?</v>
      </c>
      <c r="AB627" s="181"/>
      <c r="AC627" s="182"/>
      <c r="AD627" s="182"/>
      <c r="AE627" s="178"/>
      <c r="AF627" s="178"/>
      <c r="AG627" s="178"/>
      <c r="AH627" s="178"/>
      <c r="AI627" s="181"/>
      <c r="AJ627" s="373"/>
      <c r="AK627" s="171"/>
      <c r="AL627" s="171"/>
      <c r="AM627" s="171"/>
      <c r="AN627" s="161"/>
      <c r="AO627" s="193"/>
      <c r="AP627" s="193" t="e">
        <f t="shared" ca="1" si="408"/>
        <v>#NAME?</v>
      </c>
      <c r="AQ627" s="200"/>
      <c r="AR627" s="204"/>
      <c r="AS627" s="204"/>
      <c r="AT627" s="204"/>
      <c r="AU627" s="204"/>
      <c r="AV627" s="204"/>
    </row>
    <row r="628" spans="1:48" ht="12" customHeight="1">
      <c r="A628" s="390" t="s">
        <v>532</v>
      </c>
      <c r="B628" s="391"/>
      <c r="C628" s="391"/>
      <c r="D628" s="391"/>
      <c r="E628" s="391"/>
      <c r="F628" s="391"/>
      <c r="G628" s="391"/>
      <c r="H628" s="392"/>
      <c r="I628" s="453" t="s">
        <v>550</v>
      </c>
      <c r="J628" s="454"/>
      <c r="K628" s="124"/>
      <c r="L628" s="112">
        <f t="shared" ref="L628:S628" si="422">L630+L638</f>
        <v>328859</v>
      </c>
      <c r="M628" s="112">
        <f t="shared" si="422"/>
        <v>43647.090052425505</v>
      </c>
      <c r="N628" s="113">
        <f t="shared" si="422"/>
        <v>1109457</v>
      </c>
      <c r="O628" s="113">
        <f t="shared" si="422"/>
        <v>147250.24885526579</v>
      </c>
      <c r="P628" s="114">
        <f t="shared" si="422"/>
        <v>245000</v>
      </c>
      <c r="Q628" s="114">
        <f t="shared" si="422"/>
        <v>107600</v>
      </c>
      <c r="R628" s="88">
        <f t="shared" si="422"/>
        <v>104935</v>
      </c>
      <c r="S628" s="90" t="e">
        <f t="shared" ca="1" si="422"/>
        <v>#NAME?</v>
      </c>
      <c r="T628" s="90"/>
      <c r="U628" s="90"/>
      <c r="V628" s="200">
        <f>V630+V638</f>
        <v>21500</v>
      </c>
      <c r="W628" s="200">
        <f>W630+W638</f>
        <v>21500</v>
      </c>
      <c r="X628" s="88">
        <f>X630+X638</f>
        <v>145000</v>
      </c>
      <c r="Y628" s="171">
        <f>Y630+Y638</f>
        <v>155000</v>
      </c>
      <c r="Z628" s="171">
        <f>Z630+Z638</f>
        <v>0</v>
      </c>
      <c r="AA628" s="370" t="e">
        <f t="shared" ca="1" si="410"/>
        <v>#NAME?</v>
      </c>
      <c r="AB628" s="171"/>
      <c r="AC628" s="172">
        <f>AC630+AC638</f>
        <v>245000</v>
      </c>
      <c r="AD628" s="172">
        <f>AD630+AD638</f>
        <v>245000</v>
      </c>
      <c r="AE628" s="178">
        <f>O628/M628*100</f>
        <v>337.36555788346988</v>
      </c>
      <c r="AF628" s="178">
        <f>P628/O628*100</f>
        <v>166.38341999735005</v>
      </c>
      <c r="AG628" s="178">
        <f>Q628/P628*100</f>
        <v>43.918367346938773</v>
      </c>
      <c r="AH628" s="178">
        <f>AC628/Q628*100</f>
        <v>227.69516728624538</v>
      </c>
      <c r="AI628" s="171"/>
      <c r="AJ628" s="171">
        <v>155000</v>
      </c>
      <c r="AK628" s="171">
        <f>W628/R628*100</f>
        <v>20.488874064897317</v>
      </c>
      <c r="AL628" s="171">
        <f t="shared" si="412"/>
        <v>674.41860465116281</v>
      </c>
      <c r="AM628" s="171">
        <f t="shared" si="404"/>
        <v>106.89655172413792</v>
      </c>
      <c r="AN628" s="90"/>
      <c r="AO628" s="193"/>
      <c r="AP628" s="193" t="e">
        <f t="shared" ca="1" si="408"/>
        <v>#NAME?</v>
      </c>
      <c r="AQ628" s="200">
        <f>AQ630+AQ638</f>
        <v>60837.5</v>
      </c>
      <c r="AR628" s="204">
        <f>V628/R628*100</f>
        <v>20.488874064897317</v>
      </c>
      <c r="AS628" s="204">
        <f>W628/V628*100</f>
        <v>100</v>
      </c>
      <c r="AT628" s="204">
        <f>W628/R628*100</f>
        <v>20.488874064897317</v>
      </c>
      <c r="AU628" s="204">
        <f>AQ628/W628*100</f>
        <v>282.96511627906978</v>
      </c>
      <c r="AV628" s="204">
        <f>AQ628/R628*100</f>
        <v>57.976366322008865</v>
      </c>
    </row>
    <row r="629" spans="1:48" ht="12" customHeight="1">
      <c r="A629" s="53"/>
      <c r="B629" s="53"/>
      <c r="C629" s="53"/>
      <c r="D629" s="53"/>
      <c r="E629" s="53"/>
      <c r="F629" s="53"/>
      <c r="G629" s="53"/>
      <c r="H629" s="1"/>
      <c r="I629" s="345"/>
      <c r="J629" s="229"/>
      <c r="K629" s="18"/>
      <c r="L629" s="466"/>
      <c r="M629" s="466"/>
      <c r="N629" s="467"/>
      <c r="O629" s="467"/>
      <c r="P629" s="468"/>
      <c r="Q629" s="468"/>
      <c r="R629" s="282"/>
      <c r="S629" s="165" t="e">
        <f ca="1">__xlfn.XLOOKUP(H629,[1]Izvršenje_proračuna_po_pozicija!$B$2:$B$153,[1]Izvršenje_proračuna_po_pozicija!$E$2:$E$153,0)</f>
        <v>#NAME?</v>
      </c>
      <c r="T629" s="165"/>
      <c r="U629" s="165"/>
      <c r="V629" s="200"/>
      <c r="W629" s="200"/>
      <c r="X629" s="167"/>
      <c r="Y629" s="424"/>
      <c r="Z629" s="424"/>
      <c r="AA629" s="370" t="e">
        <f t="shared" ca="1" si="410"/>
        <v>#NAME?</v>
      </c>
      <c r="AB629" s="223"/>
      <c r="AC629" s="224"/>
      <c r="AD629" s="224"/>
      <c r="AE629" s="178"/>
      <c r="AF629" s="178"/>
      <c r="AG629" s="178"/>
      <c r="AH629" s="178"/>
      <c r="AI629" s="223"/>
      <c r="AJ629" s="424"/>
      <c r="AK629" s="171"/>
      <c r="AL629" s="171"/>
      <c r="AM629" s="171"/>
      <c r="AN629" s="222"/>
      <c r="AO629" s="193"/>
      <c r="AP629" s="193" t="e">
        <f t="shared" ca="1" si="408"/>
        <v>#NAME?</v>
      </c>
      <c r="AQ629" s="200"/>
      <c r="AR629" s="204"/>
      <c r="AS629" s="204"/>
      <c r="AT629" s="204"/>
      <c r="AU629" s="204"/>
      <c r="AV629" s="204"/>
    </row>
    <row r="630" spans="1:48" ht="12" customHeight="1">
      <c r="A630" s="24"/>
      <c r="B630" s="24"/>
      <c r="C630" s="24"/>
      <c r="D630" s="24"/>
      <c r="E630" s="24"/>
      <c r="F630" s="24"/>
      <c r="G630" s="24"/>
      <c r="H630" s="393"/>
      <c r="I630" s="404"/>
      <c r="J630" s="281">
        <v>3</v>
      </c>
      <c r="K630" s="2" t="s">
        <v>224</v>
      </c>
      <c r="L630" s="112">
        <f t="shared" ref="L630:AD631" si="423">L631</f>
        <v>205000</v>
      </c>
      <c r="M630" s="112">
        <f t="shared" si="423"/>
        <v>27208.175724998338</v>
      </c>
      <c r="N630" s="113">
        <f t="shared" si="423"/>
        <v>775000</v>
      </c>
      <c r="O630" s="113">
        <f t="shared" si="423"/>
        <v>102860.17652133519</v>
      </c>
      <c r="P630" s="114">
        <f t="shared" si="423"/>
        <v>40000</v>
      </c>
      <c r="Q630" s="114">
        <f t="shared" si="423"/>
        <v>106600</v>
      </c>
      <c r="R630" s="88">
        <f t="shared" si="423"/>
        <v>103272</v>
      </c>
      <c r="S630" s="90" t="e">
        <f t="shared" ca="1" si="423"/>
        <v>#NAME?</v>
      </c>
      <c r="T630" s="90"/>
      <c r="U630" s="90"/>
      <c r="V630" s="200">
        <f>V631</f>
        <v>20000</v>
      </c>
      <c r="W630" s="200">
        <f t="shared" si="423"/>
        <v>20000</v>
      </c>
      <c r="X630" s="88">
        <f t="shared" si="423"/>
        <v>40000</v>
      </c>
      <c r="Y630" s="171">
        <f t="shared" si="423"/>
        <v>50000</v>
      </c>
      <c r="Z630" s="171">
        <f t="shared" si="423"/>
        <v>0</v>
      </c>
      <c r="AA630" s="370" t="e">
        <f t="shared" ca="1" si="410"/>
        <v>#NAME?</v>
      </c>
      <c r="AB630" s="171"/>
      <c r="AC630" s="172">
        <f t="shared" si="423"/>
        <v>40000</v>
      </c>
      <c r="AD630" s="172">
        <f t="shared" si="423"/>
        <v>40000</v>
      </c>
      <c r="AE630" s="178">
        <f>O630/M630*100</f>
        <v>378.04878048780489</v>
      </c>
      <c r="AF630" s="178"/>
      <c r="AG630" s="178"/>
      <c r="AH630" s="178"/>
      <c r="AI630" s="171"/>
      <c r="AJ630" s="171">
        <v>50000</v>
      </c>
      <c r="AK630" s="171">
        <f>W630/R630*100</f>
        <v>19.366333565729335</v>
      </c>
      <c r="AL630" s="171">
        <f t="shared" si="412"/>
        <v>200</v>
      </c>
      <c r="AM630" s="171">
        <f t="shared" si="404"/>
        <v>125</v>
      </c>
      <c r="AN630" s="90"/>
      <c r="AO630" s="193"/>
      <c r="AP630" s="193" t="e">
        <f t="shared" ca="1" si="408"/>
        <v>#NAME?</v>
      </c>
      <c r="AQ630" s="200">
        <f>AQ631</f>
        <v>60000</v>
      </c>
      <c r="AR630" s="204">
        <f>V630/R630*100</f>
        <v>19.366333565729335</v>
      </c>
      <c r="AS630" s="204">
        <f>W630/V630*100</f>
        <v>100</v>
      </c>
      <c r="AT630" s="204">
        <f>W630/R630*100</f>
        <v>19.366333565729335</v>
      </c>
      <c r="AU630" s="204">
        <f>AQ630/W630*100</f>
        <v>300</v>
      </c>
      <c r="AV630" s="204">
        <f>AQ630/R630*100</f>
        <v>58.099000697188011</v>
      </c>
    </row>
    <row r="631" spans="1:48" ht="12" customHeight="1">
      <c r="A631" s="301"/>
      <c r="B631" s="301"/>
      <c r="C631" s="301"/>
      <c r="D631" s="301"/>
      <c r="E631" s="301"/>
      <c r="F631" s="301"/>
      <c r="G631" s="301"/>
      <c r="H631" s="307"/>
      <c r="I631" s="405"/>
      <c r="J631" s="302">
        <v>38</v>
      </c>
      <c r="K631" s="343" t="s">
        <v>285</v>
      </c>
      <c r="L631" s="112">
        <f t="shared" si="423"/>
        <v>205000</v>
      </c>
      <c r="M631" s="112">
        <f t="shared" si="423"/>
        <v>27208.175724998338</v>
      </c>
      <c r="N631" s="113">
        <f t="shared" si="423"/>
        <v>775000</v>
      </c>
      <c r="O631" s="113">
        <f t="shared" si="423"/>
        <v>102860.17652133519</v>
      </c>
      <c r="P631" s="114">
        <f t="shared" si="423"/>
        <v>40000</v>
      </c>
      <c r="Q631" s="114">
        <f t="shared" si="423"/>
        <v>106600</v>
      </c>
      <c r="R631" s="88">
        <f t="shared" si="423"/>
        <v>103272</v>
      </c>
      <c r="S631" s="90" t="e">
        <f t="shared" ca="1" si="423"/>
        <v>#NAME?</v>
      </c>
      <c r="T631" s="90"/>
      <c r="U631" s="90"/>
      <c r="V631" s="200">
        <f>V632</f>
        <v>20000</v>
      </c>
      <c r="W631" s="200">
        <f t="shared" si="423"/>
        <v>20000</v>
      </c>
      <c r="X631" s="88">
        <f t="shared" si="423"/>
        <v>40000</v>
      </c>
      <c r="Y631" s="171">
        <f t="shared" si="423"/>
        <v>50000</v>
      </c>
      <c r="Z631" s="171">
        <f t="shared" si="423"/>
        <v>0</v>
      </c>
      <c r="AA631" s="370" t="e">
        <f t="shared" ca="1" si="410"/>
        <v>#NAME?</v>
      </c>
      <c r="AB631" s="171"/>
      <c r="AC631" s="172">
        <f t="shared" si="423"/>
        <v>40000</v>
      </c>
      <c r="AD631" s="172">
        <f t="shared" si="423"/>
        <v>40000</v>
      </c>
      <c r="AE631" s="178">
        <f>O631/M631*100</f>
        <v>378.04878048780489</v>
      </c>
      <c r="AF631" s="178"/>
      <c r="AG631" s="178"/>
      <c r="AH631" s="178"/>
      <c r="AI631" s="171"/>
      <c r="AJ631" s="171">
        <v>50000</v>
      </c>
      <c r="AK631" s="171">
        <f>W631/R631*100</f>
        <v>19.366333565729335</v>
      </c>
      <c r="AL631" s="171">
        <f t="shared" si="412"/>
        <v>200</v>
      </c>
      <c r="AM631" s="171">
        <f t="shared" si="404"/>
        <v>125</v>
      </c>
      <c r="AN631" s="90"/>
      <c r="AO631" s="460"/>
      <c r="AP631" s="193" t="e">
        <f t="shared" ca="1" si="408"/>
        <v>#NAME?</v>
      </c>
      <c r="AQ631" s="200">
        <f>AQ632</f>
        <v>60000</v>
      </c>
      <c r="AR631" s="204">
        <f>V631/R631*100</f>
        <v>19.366333565729335</v>
      </c>
      <c r="AS631" s="204">
        <f>W631/V631*100</f>
        <v>100</v>
      </c>
      <c r="AT631" s="204">
        <f>W631/R631*100</f>
        <v>19.366333565729335</v>
      </c>
      <c r="AU631" s="204">
        <f>AQ631/W631*100</f>
        <v>300</v>
      </c>
      <c r="AV631" s="204">
        <f>AQ631/R631*100</f>
        <v>58.099000697188011</v>
      </c>
    </row>
    <row r="632" spans="1:48" ht="12" customHeight="1">
      <c r="A632" s="62"/>
      <c r="B632" s="62"/>
      <c r="C632" s="62"/>
      <c r="D632" s="62"/>
      <c r="E632" s="62"/>
      <c r="F632" s="62"/>
      <c r="G632" s="62"/>
      <c r="H632" s="304"/>
      <c r="I632" s="346"/>
      <c r="J632" s="303">
        <v>386</v>
      </c>
      <c r="K632" s="19" t="s">
        <v>505</v>
      </c>
      <c r="L632" s="112">
        <f t="shared" ref="L632:S632" si="424">L633+L634+L635+L636</f>
        <v>205000</v>
      </c>
      <c r="M632" s="112">
        <f t="shared" si="424"/>
        <v>27208.175724998338</v>
      </c>
      <c r="N632" s="113">
        <f t="shared" si="424"/>
        <v>775000</v>
      </c>
      <c r="O632" s="113">
        <f t="shared" si="424"/>
        <v>102860.17652133519</v>
      </c>
      <c r="P632" s="114">
        <f t="shared" si="424"/>
        <v>40000</v>
      </c>
      <c r="Q632" s="114">
        <f t="shared" si="424"/>
        <v>106600</v>
      </c>
      <c r="R632" s="88">
        <f t="shared" si="424"/>
        <v>103272</v>
      </c>
      <c r="S632" s="90" t="e">
        <f t="shared" ca="1" si="424"/>
        <v>#NAME?</v>
      </c>
      <c r="T632" s="90"/>
      <c r="U632" s="90"/>
      <c r="V632" s="200">
        <f>V633+V634+V635+V636</f>
        <v>20000</v>
      </c>
      <c r="W632" s="200">
        <f>W633+W634+W635+W636</f>
        <v>20000</v>
      </c>
      <c r="X632" s="88">
        <f>X633+X634+X635+X636</f>
        <v>40000</v>
      </c>
      <c r="Y632" s="171">
        <f>Y633+Y634+Y635+Y636</f>
        <v>50000</v>
      </c>
      <c r="Z632" s="171">
        <f>Z633+Z634+Z635+Z636</f>
        <v>0</v>
      </c>
      <c r="AA632" s="370" t="e">
        <f t="shared" ca="1" si="410"/>
        <v>#NAME?</v>
      </c>
      <c r="AB632" s="171"/>
      <c r="AC632" s="172">
        <f>AC633+AC634+AC635+AC636</f>
        <v>40000</v>
      </c>
      <c r="AD632" s="172">
        <f>AD633+AD634+AD635+AD636</f>
        <v>40000</v>
      </c>
      <c r="AE632" s="178">
        <f>O632/M632*100</f>
        <v>378.04878048780489</v>
      </c>
      <c r="AF632" s="178"/>
      <c r="AG632" s="178"/>
      <c r="AH632" s="178"/>
      <c r="AI632" s="171"/>
      <c r="AJ632" s="171">
        <v>50000</v>
      </c>
      <c r="AK632" s="171">
        <f>W632/R632*100</f>
        <v>19.366333565729335</v>
      </c>
      <c r="AL632" s="171">
        <f t="shared" si="412"/>
        <v>200</v>
      </c>
      <c r="AM632" s="171">
        <f t="shared" si="404"/>
        <v>125</v>
      </c>
      <c r="AN632" s="90"/>
      <c r="AO632" s="460"/>
      <c r="AP632" s="193" t="e">
        <f t="shared" ca="1" si="408"/>
        <v>#NAME?</v>
      </c>
      <c r="AQ632" s="200">
        <f>AQ633+AQ634+AQ635+AQ636</f>
        <v>60000</v>
      </c>
      <c r="AR632" s="204">
        <f>V632/R632*100</f>
        <v>19.366333565729335</v>
      </c>
      <c r="AS632" s="204">
        <f>W632/V632*100</f>
        <v>100</v>
      </c>
      <c r="AT632" s="204">
        <f>W632/R632*100</f>
        <v>19.366333565729335</v>
      </c>
      <c r="AU632" s="204">
        <f>AQ632/W632*100</f>
        <v>300</v>
      </c>
      <c r="AV632" s="204">
        <f>AQ632/R632*100</f>
        <v>58.099000697188011</v>
      </c>
    </row>
    <row r="633" spans="1:48" ht="12" customHeight="1">
      <c r="A633" s="53"/>
      <c r="B633" s="53"/>
      <c r="C633" s="53"/>
      <c r="D633" s="53"/>
      <c r="E633" s="53"/>
      <c r="F633" s="53"/>
      <c r="G633" s="53"/>
      <c r="H633" s="1">
        <v>169</v>
      </c>
      <c r="I633" s="345">
        <v>510</v>
      </c>
      <c r="J633" s="229">
        <v>3861</v>
      </c>
      <c r="K633" s="607" t="s">
        <v>551</v>
      </c>
      <c r="L633" s="130">
        <v>0</v>
      </c>
      <c r="M633" s="130">
        <v>0</v>
      </c>
      <c r="N633" s="131">
        <v>0</v>
      </c>
      <c r="O633" s="131">
        <v>0</v>
      </c>
      <c r="P633" s="132">
        <v>0</v>
      </c>
      <c r="Q633" s="132">
        <v>0</v>
      </c>
      <c r="R633" s="159">
        <v>0</v>
      </c>
      <c r="S633" s="165" t="e">
        <f ca="1">__xlfn.XLOOKUP(H633,[1]Izvršenje_proračuna_po_pozicija!$B$2:$B$153,[1]Izvršenje_proračuna_po_pozicija!$E$2:$E$153,0)</f>
        <v>#NAME?</v>
      </c>
      <c r="T633" s="165"/>
      <c r="U633" s="165"/>
      <c r="V633" s="200"/>
      <c r="W633" s="200"/>
      <c r="X633" s="164"/>
      <c r="Y633" s="378"/>
      <c r="Z633" s="378"/>
      <c r="AA633" s="370" t="e">
        <f t="shared" ca="1" si="410"/>
        <v>#NAME?</v>
      </c>
      <c r="AB633" s="183"/>
      <c r="AC633" s="178">
        <v>0</v>
      </c>
      <c r="AD633" s="178">
        <v>0</v>
      </c>
      <c r="AE633" s="178"/>
      <c r="AF633" s="178"/>
      <c r="AG633" s="178"/>
      <c r="AH633" s="178"/>
      <c r="AI633" s="183"/>
      <c r="AJ633" s="378"/>
      <c r="AK633" s="171"/>
      <c r="AL633" s="171"/>
      <c r="AM633" s="171"/>
      <c r="AN633" s="165"/>
      <c r="AO633" s="460"/>
      <c r="AP633" s="193" t="e">
        <f t="shared" ca="1" si="408"/>
        <v>#NAME?</v>
      </c>
      <c r="AQ633" s="200"/>
      <c r="AR633" s="204"/>
      <c r="AS633" s="204"/>
      <c r="AT633" s="204"/>
      <c r="AU633" s="204"/>
      <c r="AV633" s="204"/>
    </row>
    <row r="634" spans="1:48" ht="12" customHeight="1">
      <c r="A634" s="53"/>
      <c r="B634" s="53"/>
      <c r="C634" s="53"/>
      <c r="D634" s="53"/>
      <c r="E634" s="53"/>
      <c r="F634" s="53"/>
      <c r="G634" s="53"/>
      <c r="H634" s="1" t="s">
        <v>552</v>
      </c>
      <c r="I634" s="345">
        <v>510</v>
      </c>
      <c r="J634" s="229">
        <v>3861</v>
      </c>
      <c r="K634" s="607" t="s">
        <v>553</v>
      </c>
      <c r="L634" s="130">
        <v>0</v>
      </c>
      <c r="M634" s="130">
        <v>0</v>
      </c>
      <c r="N634" s="131">
        <v>0</v>
      </c>
      <c r="O634" s="131">
        <v>0</v>
      </c>
      <c r="P634" s="132">
        <v>0</v>
      </c>
      <c r="Q634" s="132">
        <v>0</v>
      </c>
      <c r="R634" s="159">
        <v>0</v>
      </c>
      <c r="S634" s="165" t="e">
        <f ca="1">__xlfn.XLOOKUP(H634,[1]Izvršenje_proračuna_po_pozicija!$B$2:$B$153,[1]Izvršenje_proračuna_po_pozicija!$E$2:$E$153,0)</f>
        <v>#NAME?</v>
      </c>
      <c r="T634" s="165"/>
      <c r="U634" s="165"/>
      <c r="V634" s="200"/>
      <c r="W634" s="200"/>
      <c r="X634" s="164"/>
      <c r="Y634" s="378"/>
      <c r="Z634" s="378"/>
      <c r="AA634" s="370" t="e">
        <f t="shared" ca="1" si="410"/>
        <v>#NAME?</v>
      </c>
      <c r="AB634" s="183"/>
      <c r="AC634" s="178"/>
      <c r="AD634" s="178"/>
      <c r="AE634" s="178"/>
      <c r="AF634" s="178"/>
      <c r="AG634" s="178"/>
      <c r="AH634" s="178"/>
      <c r="AI634" s="183"/>
      <c r="AJ634" s="378"/>
      <c r="AK634" s="171"/>
      <c r="AL634" s="171"/>
      <c r="AM634" s="171"/>
      <c r="AN634" s="165"/>
      <c r="AO634" s="460"/>
      <c r="AP634" s="193" t="e">
        <f t="shared" ca="1" si="408"/>
        <v>#NAME?</v>
      </c>
      <c r="AQ634" s="200"/>
      <c r="AR634" s="204"/>
      <c r="AS634" s="204"/>
      <c r="AT634" s="204"/>
      <c r="AU634" s="204"/>
      <c r="AV634" s="204"/>
    </row>
    <row r="635" spans="1:48" ht="12" customHeight="1">
      <c r="A635" s="53"/>
      <c r="B635" s="53"/>
      <c r="C635" s="53"/>
      <c r="D635" s="53"/>
      <c r="E635" s="53"/>
      <c r="F635" s="53"/>
      <c r="G635" s="53"/>
      <c r="H635" s="1" t="s">
        <v>554</v>
      </c>
      <c r="I635" s="345">
        <v>510</v>
      </c>
      <c r="J635" s="229">
        <v>3861</v>
      </c>
      <c r="K635" s="607" t="s">
        <v>555</v>
      </c>
      <c r="L635" s="130">
        <v>0</v>
      </c>
      <c r="M635" s="130">
        <v>0</v>
      </c>
      <c r="N635" s="131">
        <v>0</v>
      </c>
      <c r="O635" s="131">
        <v>0</v>
      </c>
      <c r="P635" s="132">
        <v>0</v>
      </c>
      <c r="Q635" s="132">
        <v>0</v>
      </c>
      <c r="R635" s="159">
        <v>0</v>
      </c>
      <c r="S635" s="165" t="e">
        <f ca="1">__xlfn.XLOOKUP(H635,[1]Izvršenje_proračuna_po_pozicija!$B$2:$B$153,[1]Izvršenje_proračuna_po_pozicija!$E$2:$E$153,0)</f>
        <v>#NAME?</v>
      </c>
      <c r="T635" s="165"/>
      <c r="U635" s="165"/>
      <c r="V635" s="200"/>
      <c r="W635" s="200"/>
      <c r="X635" s="164"/>
      <c r="Y635" s="378"/>
      <c r="Z635" s="378"/>
      <c r="AA635" s="370" t="e">
        <f t="shared" ca="1" si="410"/>
        <v>#NAME?</v>
      </c>
      <c r="AB635" s="183"/>
      <c r="AC635" s="178">
        <v>0</v>
      </c>
      <c r="AD635" s="178">
        <v>0</v>
      </c>
      <c r="AE635" s="178"/>
      <c r="AF635" s="178"/>
      <c r="AG635" s="178"/>
      <c r="AH635" s="178"/>
      <c r="AI635" s="183"/>
      <c r="AJ635" s="378"/>
      <c r="AK635" s="171"/>
      <c r="AL635" s="171"/>
      <c r="AM635" s="171"/>
      <c r="AN635" s="165"/>
      <c r="AO635" s="460"/>
      <c r="AP635" s="193" t="e">
        <f t="shared" ca="1" si="408"/>
        <v>#NAME?</v>
      </c>
      <c r="AQ635" s="200">
        <v>35000</v>
      </c>
      <c r="AR635" s="204"/>
      <c r="AS635" s="204"/>
      <c r="AT635" s="204"/>
      <c r="AU635" s="204"/>
      <c r="AV635" s="204"/>
    </row>
    <row r="636" spans="1:48" ht="12" customHeight="1">
      <c r="A636" s="53"/>
      <c r="B636" s="53"/>
      <c r="C636" s="53"/>
      <c r="D636" s="53"/>
      <c r="E636" s="53"/>
      <c r="F636" s="53"/>
      <c r="G636" s="53"/>
      <c r="H636" s="1" t="s">
        <v>556</v>
      </c>
      <c r="I636" s="345">
        <v>520</v>
      </c>
      <c r="J636" s="229">
        <v>3861</v>
      </c>
      <c r="K636" s="18" t="s">
        <v>557</v>
      </c>
      <c r="L636" s="130">
        <v>205000</v>
      </c>
      <c r="M636" s="130">
        <f>205000/7.5345</f>
        <v>27208.175724998338</v>
      </c>
      <c r="N636" s="131">
        <v>775000</v>
      </c>
      <c r="O636" s="131">
        <f>N636/7.5345</f>
        <v>102860.17652133519</v>
      </c>
      <c r="P636" s="132">
        <v>40000</v>
      </c>
      <c r="Q636" s="163">
        <v>106600</v>
      </c>
      <c r="R636" s="159">
        <v>103272</v>
      </c>
      <c r="S636" s="165" t="e">
        <f ca="1">__xlfn.XLOOKUP(H636,[1]Izvršenje_proračuna_po_pozicija!$B$2:$B$153,[1]Izvršenje_proračuna_po_pozicija!$E$2:$E$153,0)</f>
        <v>#NAME?</v>
      </c>
      <c r="T636" s="165"/>
      <c r="U636" s="165"/>
      <c r="V636" s="200">
        <v>20000</v>
      </c>
      <c r="W636" s="200">
        <v>20000</v>
      </c>
      <c r="X636" s="164">
        <v>40000</v>
      </c>
      <c r="Y636" s="378">
        <v>50000</v>
      </c>
      <c r="Z636" s="378"/>
      <c r="AA636" s="370" t="e">
        <f t="shared" ca="1" si="410"/>
        <v>#NAME?</v>
      </c>
      <c r="AB636" s="183"/>
      <c r="AC636" s="178">
        <v>40000</v>
      </c>
      <c r="AD636" s="178">
        <v>40000</v>
      </c>
      <c r="AE636" s="178">
        <f>O636/M636*100</f>
        <v>378.04878048780489</v>
      </c>
      <c r="AF636" s="178"/>
      <c r="AG636" s="178"/>
      <c r="AH636" s="178"/>
      <c r="AI636" s="183"/>
      <c r="AJ636" s="378">
        <v>50000</v>
      </c>
      <c r="AK636" s="171">
        <f>W636/R636*100</f>
        <v>19.366333565729335</v>
      </c>
      <c r="AL636" s="171">
        <f t="shared" si="412"/>
        <v>200</v>
      </c>
      <c r="AM636" s="171">
        <f t="shared" si="404"/>
        <v>125</v>
      </c>
      <c r="AN636" s="165"/>
      <c r="AO636" s="460"/>
      <c r="AP636" s="193" t="e">
        <f t="shared" ca="1" si="408"/>
        <v>#NAME?</v>
      </c>
      <c r="AQ636" s="200">
        <v>25000</v>
      </c>
      <c r="AR636" s="204">
        <f>V636/R636*100</f>
        <v>19.366333565729335</v>
      </c>
      <c r="AS636" s="204">
        <f>W636/V636*100</f>
        <v>100</v>
      </c>
      <c r="AT636" s="204">
        <f>W636/R636*100</f>
        <v>19.366333565729335</v>
      </c>
      <c r="AU636" s="204">
        <f>AQ636/W636*100</f>
        <v>125</v>
      </c>
      <c r="AV636" s="204">
        <f>AQ636/R636*100</f>
        <v>24.207916957161672</v>
      </c>
    </row>
    <row r="637" spans="1:48" ht="12" customHeight="1">
      <c r="A637" s="69"/>
      <c r="B637" s="69"/>
      <c r="C637" s="69"/>
      <c r="D637" s="69"/>
      <c r="E637" s="69"/>
      <c r="F637" s="69"/>
      <c r="G637" s="69"/>
      <c r="H637" s="436"/>
      <c r="I637" s="3"/>
      <c r="J637" s="7"/>
      <c r="K637" s="7"/>
      <c r="L637" s="85"/>
      <c r="M637" s="85"/>
      <c r="N637" s="86"/>
      <c r="O637" s="86"/>
      <c r="P637" s="87"/>
      <c r="Q637" s="87"/>
      <c r="R637" s="160"/>
      <c r="S637" s="165" t="e">
        <f ca="1">__xlfn.XLOOKUP(H637,[1]Izvršenje_proračuna_po_pozicija!$B$2:$B$153,[1]Izvršenje_proračuna_po_pozicija!$E$2:$E$153,0)</f>
        <v>#NAME?</v>
      </c>
      <c r="T637" s="165"/>
      <c r="U637" s="165"/>
      <c r="V637" s="200"/>
      <c r="W637" s="200"/>
      <c r="X637" s="361"/>
      <c r="Y637" s="373"/>
      <c r="Z637" s="373"/>
      <c r="AA637" s="370" t="e">
        <f t="shared" ca="1" si="410"/>
        <v>#NAME?</v>
      </c>
      <c r="AB637" s="181"/>
      <c r="AC637" s="182"/>
      <c r="AD637" s="182"/>
      <c r="AE637" s="178"/>
      <c r="AF637" s="178"/>
      <c r="AG637" s="178"/>
      <c r="AH637" s="178"/>
      <c r="AI637" s="181"/>
      <c r="AJ637" s="373"/>
      <c r="AK637" s="171"/>
      <c r="AL637" s="171"/>
      <c r="AM637" s="171"/>
      <c r="AN637" s="161"/>
      <c r="AO637" s="193"/>
      <c r="AP637" s="193" t="e">
        <f t="shared" ca="1" si="408"/>
        <v>#NAME?</v>
      </c>
      <c r="AQ637" s="200"/>
      <c r="AR637" s="204"/>
      <c r="AS637" s="204"/>
      <c r="AT637" s="204"/>
      <c r="AU637" s="204"/>
      <c r="AV637" s="204"/>
    </row>
    <row r="638" spans="1:48" ht="12" customHeight="1">
      <c r="A638" s="24"/>
      <c r="B638" s="24"/>
      <c r="C638" s="24"/>
      <c r="D638" s="24"/>
      <c r="E638" s="24"/>
      <c r="F638" s="24"/>
      <c r="G638" s="24"/>
      <c r="H638" s="393"/>
      <c r="I638" s="404"/>
      <c r="J638" s="281">
        <v>4</v>
      </c>
      <c r="K638" s="2" t="s">
        <v>417</v>
      </c>
      <c r="L638" s="112">
        <f t="shared" ref="L638:Z638" si="425">L639</f>
        <v>123859</v>
      </c>
      <c r="M638" s="112">
        <f t="shared" si="425"/>
        <v>16438.914327427166</v>
      </c>
      <c r="N638" s="113">
        <f t="shared" si="425"/>
        <v>334457</v>
      </c>
      <c r="O638" s="113">
        <f t="shared" si="425"/>
        <v>44390.072333930584</v>
      </c>
      <c r="P638" s="114">
        <f t="shared" si="425"/>
        <v>205000</v>
      </c>
      <c r="Q638" s="114">
        <f t="shared" si="425"/>
        <v>1000</v>
      </c>
      <c r="R638" s="88">
        <f t="shared" si="425"/>
        <v>1663</v>
      </c>
      <c r="S638" s="90" t="e">
        <f t="shared" ca="1" si="425"/>
        <v>#NAME?</v>
      </c>
      <c r="T638" s="90"/>
      <c r="U638" s="90"/>
      <c r="V638" s="200">
        <f>V639</f>
        <v>1500</v>
      </c>
      <c r="W638" s="200">
        <f t="shared" si="425"/>
        <v>1500</v>
      </c>
      <c r="X638" s="88">
        <f t="shared" si="425"/>
        <v>105000</v>
      </c>
      <c r="Y638" s="171">
        <f t="shared" si="425"/>
        <v>105000</v>
      </c>
      <c r="Z638" s="171">
        <f t="shared" si="425"/>
        <v>0</v>
      </c>
      <c r="AA638" s="370" t="e">
        <f t="shared" ca="1" si="410"/>
        <v>#NAME?</v>
      </c>
      <c r="AB638" s="171"/>
      <c r="AC638" s="172">
        <f>AC639</f>
        <v>205000</v>
      </c>
      <c r="AD638" s="172">
        <f>AD639</f>
        <v>205000</v>
      </c>
      <c r="AE638" s="178">
        <f>O638/M638*100</f>
        <v>270.03043783657222</v>
      </c>
      <c r="AF638" s="178">
        <f>P638/O638*100</f>
        <v>461.81497173029715</v>
      </c>
      <c r="AG638" s="178">
        <f>Q638/P638*100</f>
        <v>0.48780487804878048</v>
      </c>
      <c r="AH638" s="178"/>
      <c r="AI638" s="171"/>
      <c r="AJ638" s="171">
        <v>105000</v>
      </c>
      <c r="AK638" s="171">
        <f>W638/R638*100</f>
        <v>90.198436560432953</v>
      </c>
      <c r="AL638" s="171">
        <f t="shared" si="412"/>
        <v>7000</v>
      </c>
      <c r="AM638" s="171">
        <f t="shared" si="404"/>
        <v>100</v>
      </c>
      <c r="AN638" s="90"/>
      <c r="AO638" s="193"/>
      <c r="AP638" s="193" t="e">
        <f t="shared" ca="1" si="408"/>
        <v>#NAME?</v>
      </c>
      <c r="AQ638" s="200">
        <f>AQ639</f>
        <v>837.5</v>
      </c>
      <c r="AR638" s="204">
        <f>V638/R638*100</f>
        <v>90.198436560432953</v>
      </c>
      <c r="AS638" s="204">
        <f>W638/V638*100</f>
        <v>100</v>
      </c>
      <c r="AT638" s="204">
        <f>W638/R638*100</f>
        <v>90.198436560432953</v>
      </c>
      <c r="AU638" s="204">
        <f>AQ638/W638*100</f>
        <v>55.833333333333336</v>
      </c>
      <c r="AV638" s="204">
        <f>AQ638/R638*100</f>
        <v>50.360793746241725</v>
      </c>
    </row>
    <row r="639" spans="1:48" ht="12" customHeight="1">
      <c r="A639" s="301"/>
      <c r="B639" s="301"/>
      <c r="C639" s="301"/>
      <c r="D639" s="301"/>
      <c r="E639" s="301"/>
      <c r="F639" s="301"/>
      <c r="G639" s="301"/>
      <c r="H639" s="307"/>
      <c r="I639" s="405"/>
      <c r="J639" s="302">
        <v>42</v>
      </c>
      <c r="K639" s="343" t="s">
        <v>558</v>
      </c>
      <c r="L639" s="112">
        <f t="shared" ref="L639:S639" si="426">L640+L644</f>
        <v>123859</v>
      </c>
      <c r="M639" s="112">
        <f t="shared" si="426"/>
        <v>16438.914327427166</v>
      </c>
      <c r="N639" s="113">
        <f t="shared" si="426"/>
        <v>334457</v>
      </c>
      <c r="O639" s="113">
        <f t="shared" si="426"/>
        <v>44390.072333930584</v>
      </c>
      <c r="P639" s="114">
        <f t="shared" si="426"/>
        <v>205000</v>
      </c>
      <c r="Q639" s="114">
        <f t="shared" si="426"/>
        <v>1000</v>
      </c>
      <c r="R639" s="88">
        <f t="shared" si="426"/>
        <v>1663</v>
      </c>
      <c r="S639" s="90" t="e">
        <f t="shared" ca="1" si="426"/>
        <v>#NAME?</v>
      </c>
      <c r="T639" s="90"/>
      <c r="U639" s="90"/>
      <c r="V639" s="200">
        <f>V640+V644</f>
        <v>1500</v>
      </c>
      <c r="W639" s="200">
        <f>W640+W644</f>
        <v>1500</v>
      </c>
      <c r="X639" s="88">
        <f>X640+X644</f>
        <v>105000</v>
      </c>
      <c r="Y639" s="171">
        <f>Y640+Y644</f>
        <v>105000</v>
      </c>
      <c r="Z639" s="171">
        <f>Z640+Z644</f>
        <v>0</v>
      </c>
      <c r="AA639" s="370" t="e">
        <f t="shared" ca="1" si="410"/>
        <v>#NAME?</v>
      </c>
      <c r="AB639" s="171"/>
      <c r="AC639" s="172">
        <f>AC640+AC644</f>
        <v>205000</v>
      </c>
      <c r="AD639" s="172">
        <f>AD640+AD644</f>
        <v>205000</v>
      </c>
      <c r="AE639" s="178">
        <f>O639/M639*100</f>
        <v>270.03043783657222</v>
      </c>
      <c r="AF639" s="178">
        <f>P639/O639*100</f>
        <v>461.81497173029715</v>
      </c>
      <c r="AG639" s="178">
        <f>Q639/P639*100</f>
        <v>0.48780487804878048</v>
      </c>
      <c r="AH639" s="178"/>
      <c r="AI639" s="171"/>
      <c r="AJ639" s="171">
        <v>105000</v>
      </c>
      <c r="AK639" s="171">
        <f>W639/R639*100</f>
        <v>90.198436560432953</v>
      </c>
      <c r="AL639" s="171">
        <f t="shared" si="412"/>
        <v>7000</v>
      </c>
      <c r="AM639" s="171">
        <f t="shared" si="404"/>
        <v>100</v>
      </c>
      <c r="AN639" s="90"/>
      <c r="AO639" s="193"/>
      <c r="AP639" s="193" t="e">
        <f t="shared" ca="1" si="408"/>
        <v>#NAME?</v>
      </c>
      <c r="AQ639" s="200">
        <f>AQ640+AQ644</f>
        <v>837.5</v>
      </c>
      <c r="AR639" s="204">
        <f>V639/R639*100</f>
        <v>90.198436560432953</v>
      </c>
      <c r="AS639" s="204">
        <f>W639/V639*100</f>
        <v>100</v>
      </c>
      <c r="AT639" s="204">
        <f>W639/R639*100</f>
        <v>90.198436560432953</v>
      </c>
      <c r="AU639" s="204">
        <f>AQ639/W639*100</f>
        <v>55.833333333333336</v>
      </c>
      <c r="AV639" s="204">
        <f>AQ639/R639*100</f>
        <v>50.360793746241725</v>
      </c>
    </row>
    <row r="640" spans="1:48" ht="12" customHeight="1">
      <c r="A640" s="62"/>
      <c r="B640" s="62"/>
      <c r="C640" s="62"/>
      <c r="D640" s="62"/>
      <c r="E640" s="62"/>
      <c r="F640" s="62"/>
      <c r="G640" s="62"/>
      <c r="H640" s="304"/>
      <c r="I640" s="346"/>
      <c r="J640" s="303">
        <v>421</v>
      </c>
      <c r="K640" s="19" t="s">
        <v>465</v>
      </c>
      <c r="L640" s="112">
        <f t="shared" ref="L640:S640" si="427">L641+L642</f>
        <v>123859</v>
      </c>
      <c r="M640" s="112">
        <f t="shared" si="427"/>
        <v>16438.914327427166</v>
      </c>
      <c r="N640" s="113">
        <f t="shared" si="427"/>
        <v>9457</v>
      </c>
      <c r="O640" s="113">
        <f t="shared" si="427"/>
        <v>1255.1595991771185</v>
      </c>
      <c r="P640" s="114">
        <f t="shared" si="427"/>
        <v>200000</v>
      </c>
      <c r="Q640" s="114">
        <f t="shared" si="427"/>
        <v>1000</v>
      </c>
      <c r="R640" s="88">
        <f t="shared" si="427"/>
        <v>1663</v>
      </c>
      <c r="S640" s="90" t="e">
        <f t="shared" ca="1" si="427"/>
        <v>#NAME?</v>
      </c>
      <c r="T640" s="90"/>
      <c r="U640" s="90"/>
      <c r="V640" s="200">
        <f>V641+V642</f>
        <v>1500</v>
      </c>
      <c r="W640" s="200">
        <f>W641+W642</f>
        <v>1500</v>
      </c>
      <c r="X640" s="88">
        <f>X641+X642</f>
        <v>100000</v>
      </c>
      <c r="Y640" s="171">
        <f>Y641+Y642</f>
        <v>100000</v>
      </c>
      <c r="Z640" s="171">
        <f>Z641+Z642</f>
        <v>0</v>
      </c>
      <c r="AA640" s="370" t="e">
        <f t="shared" ca="1" si="410"/>
        <v>#NAME?</v>
      </c>
      <c r="AB640" s="171"/>
      <c r="AC640" s="172">
        <f>AC641+AC642</f>
        <v>200000</v>
      </c>
      <c r="AD640" s="172">
        <f>AD641+AD642</f>
        <v>200000</v>
      </c>
      <c r="AE640" s="178">
        <f>O640/M640*100</f>
        <v>7.6352949725090626</v>
      </c>
      <c r="AF640" s="178"/>
      <c r="AG640" s="178"/>
      <c r="AH640" s="178"/>
      <c r="AI640" s="171"/>
      <c r="AJ640" s="171">
        <v>100000</v>
      </c>
      <c r="AK640" s="171">
        <f>W640/R640*100</f>
        <v>90.198436560432953</v>
      </c>
      <c r="AL640" s="171">
        <f t="shared" si="412"/>
        <v>6666.666666666667</v>
      </c>
      <c r="AM640" s="171">
        <f t="shared" si="404"/>
        <v>100</v>
      </c>
      <c r="AN640" s="90"/>
      <c r="AO640" s="193"/>
      <c r="AP640" s="193" t="e">
        <f t="shared" ca="1" si="408"/>
        <v>#NAME?</v>
      </c>
      <c r="AQ640" s="200">
        <f>AQ641+AQ642</f>
        <v>837.5</v>
      </c>
      <c r="AR640" s="204">
        <f>V640/R640*100</f>
        <v>90.198436560432953</v>
      </c>
      <c r="AS640" s="204">
        <f>W640/V640*100</f>
        <v>100</v>
      </c>
      <c r="AT640" s="204">
        <f>W640/R640*100</f>
        <v>90.198436560432953</v>
      </c>
      <c r="AU640" s="204">
        <f>AQ640/W640*100</f>
        <v>55.833333333333336</v>
      </c>
      <c r="AV640" s="204">
        <f>AQ640/R640*100</f>
        <v>50.360793746241725</v>
      </c>
    </row>
    <row r="641" spans="1:48" ht="12" customHeight="1">
      <c r="A641" s="53"/>
      <c r="B641" s="53"/>
      <c r="C641" s="53"/>
      <c r="D641" s="53"/>
      <c r="E641" s="53"/>
      <c r="F641" s="53"/>
      <c r="G641" s="53"/>
      <c r="H641" s="1" t="s">
        <v>559</v>
      </c>
      <c r="I641" s="345">
        <v>510</v>
      </c>
      <c r="J641" s="229">
        <v>4214</v>
      </c>
      <c r="K641" s="18" t="s">
        <v>560</v>
      </c>
      <c r="L641" s="130">
        <v>65562</v>
      </c>
      <c r="M641" s="130">
        <f>65562/7.5345</f>
        <v>8701.5727652797123</v>
      </c>
      <c r="N641" s="131">
        <v>9457</v>
      </c>
      <c r="O641" s="131">
        <f>N641/7.5345</f>
        <v>1255.1595991771185</v>
      </c>
      <c r="P641" s="132">
        <v>200000</v>
      </c>
      <c r="Q641" s="163">
        <v>1000</v>
      </c>
      <c r="R641" s="159">
        <v>1663</v>
      </c>
      <c r="S641" s="165" t="e">
        <f ca="1">__xlfn.XLOOKUP(H641,[1]Izvršenje_proračuna_po_pozicija!$B$2:$B$153,[1]Izvršenje_proračuna_po_pozicija!$E$2:$E$153,0)</f>
        <v>#NAME?</v>
      </c>
      <c r="T641" s="165"/>
      <c r="U641" s="165"/>
      <c r="V641" s="200">
        <v>1500</v>
      </c>
      <c r="W641" s="200">
        <v>1500</v>
      </c>
      <c r="X641" s="164">
        <v>100000</v>
      </c>
      <c r="Y641" s="378">
        <v>100000</v>
      </c>
      <c r="Z641" s="378"/>
      <c r="AA641" s="370" t="e">
        <f t="shared" ca="1" si="410"/>
        <v>#NAME?</v>
      </c>
      <c r="AB641" s="183"/>
      <c r="AC641" s="178">
        <v>200000</v>
      </c>
      <c r="AD641" s="178">
        <v>200000</v>
      </c>
      <c r="AE641" s="178">
        <f>O641/M641*100</f>
        <v>14.424514200298955</v>
      </c>
      <c r="AF641" s="178"/>
      <c r="AG641" s="178"/>
      <c r="AH641" s="178"/>
      <c r="AI641" s="183"/>
      <c r="AJ641" s="378">
        <v>100000</v>
      </c>
      <c r="AK641" s="171">
        <f>W641/R641*100</f>
        <v>90.198436560432953</v>
      </c>
      <c r="AL641" s="171">
        <f t="shared" si="412"/>
        <v>6666.666666666667</v>
      </c>
      <c r="AM641" s="171">
        <f t="shared" si="404"/>
        <v>100</v>
      </c>
      <c r="AN641" s="165"/>
      <c r="AO641" s="193"/>
      <c r="AP641" s="193" t="e">
        <f t="shared" ca="1" si="408"/>
        <v>#NAME?</v>
      </c>
      <c r="AQ641" s="200">
        <v>837.5</v>
      </c>
      <c r="AR641" s="204">
        <f>V641/R641*100</f>
        <v>90.198436560432953</v>
      </c>
      <c r="AS641" s="204">
        <f>W641/V641*100</f>
        <v>100</v>
      </c>
      <c r="AT641" s="204">
        <f>W641/R641*100</f>
        <v>90.198436560432953</v>
      </c>
      <c r="AU641" s="204">
        <f>AQ641/W641*100</f>
        <v>55.833333333333336</v>
      </c>
      <c r="AV641" s="204">
        <f>AQ641/R641*100</f>
        <v>50.360793746241725</v>
      </c>
    </row>
    <row r="642" spans="1:48" ht="12" customHeight="1">
      <c r="A642" s="53"/>
      <c r="B642" s="53"/>
      <c r="C642" s="53"/>
      <c r="D642" s="53"/>
      <c r="E642" s="53"/>
      <c r="F642" s="53"/>
      <c r="G642" s="53"/>
      <c r="H642" s="1" t="s">
        <v>561</v>
      </c>
      <c r="I642" s="397">
        <v>510</v>
      </c>
      <c r="J642" s="229">
        <v>4214</v>
      </c>
      <c r="K642" s="18" t="s">
        <v>562</v>
      </c>
      <c r="L642" s="130">
        <v>58297</v>
      </c>
      <c r="M642" s="130">
        <f>58297/7.5345</f>
        <v>7737.3415621474542</v>
      </c>
      <c r="N642" s="131">
        <v>0</v>
      </c>
      <c r="O642" s="131">
        <v>0</v>
      </c>
      <c r="P642" s="132">
        <v>0</v>
      </c>
      <c r="Q642" s="132">
        <v>0</v>
      </c>
      <c r="R642" s="159">
        <v>0</v>
      </c>
      <c r="S642" s="165" t="e">
        <f ca="1">__xlfn.XLOOKUP(H642,[1]Izvršenje_proračuna_po_pozicija!$B$2:$B$153,[1]Izvršenje_proračuna_po_pozicija!$E$2:$E$153,0)</f>
        <v>#NAME?</v>
      </c>
      <c r="T642" s="165"/>
      <c r="U642" s="165"/>
      <c r="V642" s="200"/>
      <c r="W642" s="200"/>
      <c r="X642" s="164"/>
      <c r="Y642" s="378"/>
      <c r="Z642" s="378"/>
      <c r="AA642" s="370" t="e">
        <f t="shared" ca="1" si="410"/>
        <v>#NAME?</v>
      </c>
      <c r="AB642" s="183"/>
      <c r="AC642" s="178"/>
      <c r="AD642" s="178"/>
      <c r="AE642" s="178">
        <f>O642/M642*100</f>
        <v>0</v>
      </c>
      <c r="AF642" s="178"/>
      <c r="AG642" s="178"/>
      <c r="AH642" s="178"/>
      <c r="AI642" s="183"/>
      <c r="AJ642" s="378"/>
      <c r="AK642" s="171"/>
      <c r="AL642" s="171"/>
      <c r="AM642" s="171"/>
      <c r="AN642" s="165"/>
      <c r="AO642" s="193"/>
      <c r="AP642" s="193" t="e">
        <f t="shared" ca="1" si="408"/>
        <v>#NAME?</v>
      </c>
      <c r="AQ642" s="200"/>
      <c r="AR642" s="204"/>
      <c r="AS642" s="204"/>
      <c r="AT642" s="204"/>
      <c r="AU642" s="204"/>
      <c r="AV642" s="204"/>
    </row>
    <row r="643" spans="1:48" ht="12" customHeight="1">
      <c r="A643" s="42"/>
      <c r="B643" s="42"/>
      <c r="C643" s="42"/>
      <c r="D643" s="42"/>
      <c r="E643" s="42"/>
      <c r="F643" s="42"/>
      <c r="G643" s="42"/>
      <c r="H643" s="308"/>
      <c r="I643" s="14"/>
      <c r="J643" s="2"/>
      <c r="K643" s="84"/>
      <c r="L643" s="85"/>
      <c r="M643" s="85"/>
      <c r="N643" s="86"/>
      <c r="O643" s="86"/>
      <c r="P643" s="87"/>
      <c r="Q643" s="87"/>
      <c r="R643" s="160"/>
      <c r="S643" s="165" t="e">
        <f ca="1">__xlfn.XLOOKUP(H643,[1]Izvršenje_proračuna_po_pozicija!$B$2:$B$153,[1]Izvršenje_proračuna_po_pozicija!$E$2:$E$153,0)</f>
        <v>#NAME?</v>
      </c>
      <c r="T643" s="165"/>
      <c r="U643" s="165"/>
      <c r="V643" s="200"/>
      <c r="W643" s="200"/>
      <c r="X643" s="361"/>
      <c r="Y643" s="373"/>
      <c r="Z643" s="373"/>
      <c r="AA643" s="370" t="e">
        <f t="shared" ca="1" si="410"/>
        <v>#NAME?</v>
      </c>
      <c r="AB643" s="181"/>
      <c r="AC643" s="182"/>
      <c r="AD643" s="182"/>
      <c r="AE643" s="178"/>
      <c r="AF643" s="178"/>
      <c r="AG643" s="178"/>
      <c r="AH643" s="178"/>
      <c r="AI643" s="181"/>
      <c r="AJ643" s="373"/>
      <c r="AK643" s="171"/>
      <c r="AL643" s="171"/>
      <c r="AM643" s="171"/>
      <c r="AN643" s="161"/>
      <c r="AO643" s="193"/>
      <c r="AP643" s="193" t="e">
        <f t="shared" ca="1" si="408"/>
        <v>#NAME?</v>
      </c>
      <c r="AQ643" s="200"/>
      <c r="AR643" s="204"/>
      <c r="AS643" s="204"/>
      <c r="AT643" s="204"/>
      <c r="AU643" s="204"/>
      <c r="AV643" s="204"/>
    </row>
    <row r="644" spans="1:48" ht="12" customHeight="1">
      <c r="A644" s="62"/>
      <c r="B644" s="62"/>
      <c r="C644" s="62"/>
      <c r="D644" s="62"/>
      <c r="E644" s="62"/>
      <c r="F644" s="62"/>
      <c r="G644" s="62"/>
      <c r="H644" s="304"/>
      <c r="I644" s="346"/>
      <c r="J644" s="303">
        <v>422</v>
      </c>
      <c r="K644" s="19" t="s">
        <v>419</v>
      </c>
      <c r="L644" s="112">
        <f t="shared" ref="L644:Z644" si="428">L645</f>
        <v>0</v>
      </c>
      <c r="M644" s="112">
        <f t="shared" si="428"/>
        <v>0</v>
      </c>
      <c r="N644" s="113">
        <f t="shared" si="428"/>
        <v>325000</v>
      </c>
      <c r="O644" s="113">
        <f t="shared" si="428"/>
        <v>43134.912734753467</v>
      </c>
      <c r="P644" s="114">
        <f t="shared" si="428"/>
        <v>5000</v>
      </c>
      <c r="Q644" s="114">
        <f t="shared" si="428"/>
        <v>0</v>
      </c>
      <c r="R644" s="88">
        <f t="shared" si="428"/>
        <v>0</v>
      </c>
      <c r="S644" s="90" t="e">
        <f t="shared" ca="1" si="428"/>
        <v>#NAME?</v>
      </c>
      <c r="T644" s="90"/>
      <c r="U644" s="90"/>
      <c r="V644" s="200">
        <f>V645</f>
        <v>0</v>
      </c>
      <c r="W644" s="200">
        <f t="shared" si="428"/>
        <v>0</v>
      </c>
      <c r="X644" s="88">
        <f t="shared" si="428"/>
        <v>5000</v>
      </c>
      <c r="Y644" s="171">
        <f t="shared" si="428"/>
        <v>5000</v>
      </c>
      <c r="Z644" s="171">
        <f t="shared" si="428"/>
        <v>0</v>
      </c>
      <c r="AA644" s="370" t="e">
        <f t="shared" ca="1" si="410"/>
        <v>#NAME?</v>
      </c>
      <c r="AB644" s="171"/>
      <c r="AC644" s="172">
        <f>AC645</f>
        <v>5000</v>
      </c>
      <c r="AD644" s="172">
        <f>AD645</f>
        <v>5000</v>
      </c>
      <c r="AE644" s="178"/>
      <c r="AF644" s="178">
        <f>P644/O644*100</f>
        <v>11.591538461538461</v>
      </c>
      <c r="AG644" s="178">
        <f>Q644/P644*100</f>
        <v>0</v>
      </c>
      <c r="AH644" s="178"/>
      <c r="AI644" s="171"/>
      <c r="AJ644" s="171">
        <v>5000</v>
      </c>
      <c r="AK644" s="171"/>
      <c r="AL644" s="171"/>
      <c r="AM644" s="171">
        <f t="shared" si="404"/>
        <v>100</v>
      </c>
      <c r="AN644" s="90"/>
      <c r="AO644" s="193"/>
      <c r="AP644" s="193" t="e">
        <f t="shared" ca="1" si="408"/>
        <v>#NAME?</v>
      </c>
      <c r="AQ644" s="200">
        <f>AQ645</f>
        <v>0</v>
      </c>
      <c r="AR644" s="204"/>
      <c r="AS644" s="204"/>
      <c r="AT644" s="204"/>
      <c r="AU644" s="204"/>
      <c r="AV644" s="204"/>
    </row>
    <row r="645" spans="1:48" ht="12" customHeight="1">
      <c r="A645" s="53"/>
      <c r="B645" s="53"/>
      <c r="C645" s="53"/>
      <c r="D645" s="53"/>
      <c r="E645" s="53"/>
      <c r="F645" s="53"/>
      <c r="G645" s="53"/>
      <c r="H645" s="1" t="s">
        <v>563</v>
      </c>
      <c r="I645" s="345">
        <v>510</v>
      </c>
      <c r="J645" s="229">
        <v>4227</v>
      </c>
      <c r="K645" s="18" t="s">
        <v>564</v>
      </c>
      <c r="L645" s="130">
        <v>0</v>
      </c>
      <c r="M645" s="130">
        <v>0</v>
      </c>
      <c r="N645" s="131">
        <v>325000</v>
      </c>
      <c r="O645" s="131">
        <f>N645/7.5345</f>
        <v>43134.912734753467</v>
      </c>
      <c r="P645" s="132">
        <v>5000</v>
      </c>
      <c r="Q645" s="163">
        <v>0</v>
      </c>
      <c r="R645" s="159">
        <v>0</v>
      </c>
      <c r="S645" s="165" t="e">
        <f ca="1">__xlfn.XLOOKUP(H645,[1]Izvršenje_proračuna_po_pozicija!$B$2:$B$153,[1]Izvršenje_proračuna_po_pozicija!$E$2:$E$153,0)</f>
        <v>#NAME?</v>
      </c>
      <c r="T645" s="165"/>
      <c r="U645" s="165"/>
      <c r="V645" s="200">
        <v>0</v>
      </c>
      <c r="W645" s="200">
        <v>0</v>
      </c>
      <c r="X645" s="164">
        <v>5000</v>
      </c>
      <c r="Y645" s="378">
        <v>5000</v>
      </c>
      <c r="Z645" s="378"/>
      <c r="AA645" s="370" t="e">
        <f t="shared" ca="1" si="410"/>
        <v>#NAME?</v>
      </c>
      <c r="AB645" s="183"/>
      <c r="AC645" s="178">
        <v>5000</v>
      </c>
      <c r="AD645" s="178">
        <v>5000</v>
      </c>
      <c r="AE645" s="178"/>
      <c r="AF645" s="178">
        <f>P645/O645*100</f>
        <v>11.591538461538461</v>
      </c>
      <c r="AG645" s="178">
        <f>Q645/P645*100</f>
        <v>0</v>
      </c>
      <c r="AH645" s="178"/>
      <c r="AI645" s="183"/>
      <c r="AJ645" s="378">
        <v>5000</v>
      </c>
      <c r="AK645" s="171"/>
      <c r="AL645" s="171"/>
      <c r="AM645" s="171">
        <f t="shared" si="404"/>
        <v>100</v>
      </c>
      <c r="AN645" s="165"/>
      <c r="AO645" s="193"/>
      <c r="AP645" s="193" t="e">
        <f t="shared" ca="1" si="408"/>
        <v>#NAME?</v>
      </c>
      <c r="AQ645" s="200"/>
      <c r="AR645" s="204"/>
      <c r="AS645" s="204"/>
      <c r="AT645" s="204"/>
      <c r="AU645" s="204"/>
      <c r="AV645" s="204"/>
    </row>
    <row r="646" spans="1:48" ht="12" customHeight="1">
      <c r="A646" s="53"/>
      <c r="B646" s="53"/>
      <c r="C646" s="53"/>
      <c r="D646" s="53"/>
      <c r="E646" s="53"/>
      <c r="F646" s="53"/>
      <c r="G646" s="53"/>
      <c r="H646" s="1"/>
      <c r="I646" s="345"/>
      <c r="J646" s="229"/>
      <c r="K646" s="279"/>
      <c r="L646" s="130"/>
      <c r="M646" s="130"/>
      <c r="N646" s="131"/>
      <c r="O646" s="131"/>
      <c r="P646" s="132"/>
      <c r="Q646" s="132"/>
      <c r="R646" s="159"/>
      <c r="S646" s="165" t="e">
        <f ca="1">__xlfn.XLOOKUP(H646,[1]Izvršenje_proračuna_po_pozicija!$B$2:$B$153,[1]Izvršenje_proračuna_po_pozicija!$E$2:$E$153,0)</f>
        <v>#NAME?</v>
      </c>
      <c r="T646" s="165"/>
      <c r="U646" s="165"/>
      <c r="V646" s="200"/>
      <c r="W646" s="200"/>
      <c r="X646" s="164"/>
      <c r="Y646" s="378"/>
      <c r="Z646" s="378"/>
      <c r="AA646" s="370" t="e">
        <f t="shared" ca="1" si="410"/>
        <v>#NAME?</v>
      </c>
      <c r="AB646" s="183"/>
      <c r="AC646" s="178"/>
      <c r="AD646" s="178"/>
      <c r="AE646" s="178"/>
      <c r="AF646" s="178"/>
      <c r="AG646" s="178"/>
      <c r="AH646" s="178"/>
      <c r="AI646" s="183"/>
      <c r="AJ646" s="378"/>
      <c r="AK646" s="171"/>
      <c r="AL646" s="171"/>
      <c r="AM646" s="171"/>
      <c r="AN646" s="165"/>
      <c r="AO646" s="193"/>
      <c r="AP646" s="193" t="e">
        <f t="shared" ca="1" si="408"/>
        <v>#NAME?</v>
      </c>
      <c r="AQ646" s="200"/>
      <c r="AR646" s="204"/>
      <c r="AS646" s="204"/>
      <c r="AT646" s="204"/>
      <c r="AU646" s="204"/>
      <c r="AV646" s="204"/>
    </row>
    <row r="647" spans="1:48" ht="12" customHeight="1">
      <c r="A647" s="390" t="s">
        <v>415</v>
      </c>
      <c r="B647" s="391"/>
      <c r="C647" s="391"/>
      <c r="D647" s="391"/>
      <c r="E647" s="391"/>
      <c r="F647" s="391"/>
      <c r="G647" s="391"/>
      <c r="H647" s="392"/>
      <c r="I647" s="453" t="s">
        <v>565</v>
      </c>
      <c r="J647" s="454"/>
      <c r="K647" s="124"/>
      <c r="L647" s="112">
        <f t="shared" ref="L647:S647" si="429">L649</f>
        <v>0</v>
      </c>
      <c r="M647" s="112">
        <f t="shared" si="429"/>
        <v>0</v>
      </c>
      <c r="N647" s="113">
        <f t="shared" si="429"/>
        <v>0</v>
      </c>
      <c r="O647" s="113">
        <f t="shared" si="429"/>
        <v>0</v>
      </c>
      <c r="P647" s="114">
        <f t="shared" si="429"/>
        <v>66400</v>
      </c>
      <c r="Q647" s="114">
        <f t="shared" si="429"/>
        <v>0</v>
      </c>
      <c r="R647" s="88">
        <f t="shared" si="429"/>
        <v>0</v>
      </c>
      <c r="S647" s="90" t="e">
        <f t="shared" ca="1" si="429"/>
        <v>#NAME?</v>
      </c>
      <c r="T647" s="90"/>
      <c r="U647" s="90"/>
      <c r="V647" s="200">
        <f>V649</f>
        <v>0</v>
      </c>
      <c r="W647" s="200">
        <f>W649</f>
        <v>0</v>
      </c>
      <c r="X647" s="88">
        <f>X649</f>
        <v>0</v>
      </c>
      <c r="Y647" s="171">
        <f>Y649</f>
        <v>0</v>
      </c>
      <c r="Z647" s="171">
        <f>Z649</f>
        <v>0</v>
      </c>
      <c r="AA647" s="370" t="e">
        <f t="shared" ca="1" si="410"/>
        <v>#NAME?</v>
      </c>
      <c r="AB647" s="171"/>
      <c r="AC647" s="172">
        <f>AC649</f>
        <v>0</v>
      </c>
      <c r="AD647" s="172">
        <f>AD649</f>
        <v>0</v>
      </c>
      <c r="AE647" s="178"/>
      <c r="AF647" s="178"/>
      <c r="AG647" s="178"/>
      <c r="AH647" s="178"/>
      <c r="AI647" s="171"/>
      <c r="AJ647" s="171">
        <v>0</v>
      </c>
      <c r="AK647" s="171"/>
      <c r="AL647" s="171"/>
      <c r="AM647" s="171"/>
      <c r="AN647" s="90"/>
      <c r="AO647" s="193"/>
      <c r="AP647" s="193" t="e">
        <f t="shared" ca="1" si="408"/>
        <v>#NAME?</v>
      </c>
      <c r="AQ647" s="200">
        <f>AQ649</f>
        <v>0</v>
      </c>
      <c r="AR647" s="204"/>
      <c r="AS647" s="204"/>
      <c r="AT647" s="204"/>
      <c r="AU647" s="204"/>
      <c r="AV647" s="204"/>
    </row>
    <row r="648" spans="1:48" ht="12" customHeight="1">
      <c r="A648" s="53"/>
      <c r="B648" s="53"/>
      <c r="C648" s="53"/>
      <c r="D648" s="53"/>
      <c r="E648" s="53"/>
      <c r="F648" s="53"/>
      <c r="G648" s="53"/>
      <c r="H648" s="1"/>
      <c r="I648" s="345"/>
      <c r="J648" s="229"/>
      <c r="K648" s="279"/>
      <c r="L648" s="130"/>
      <c r="M648" s="130"/>
      <c r="N648" s="131"/>
      <c r="O648" s="131"/>
      <c r="P648" s="132"/>
      <c r="Q648" s="132"/>
      <c r="R648" s="159"/>
      <c r="S648" s="165" t="e">
        <f ca="1">__xlfn.XLOOKUP(H648,[1]Izvršenje_proračuna_po_pozicija!$B$2:$B$153,[1]Izvršenje_proračuna_po_pozicija!$E$2:$E$153,0)</f>
        <v>#NAME?</v>
      </c>
      <c r="T648" s="165"/>
      <c r="U648" s="165"/>
      <c r="V648" s="200"/>
      <c r="W648" s="200"/>
      <c r="X648" s="164"/>
      <c r="Y648" s="378"/>
      <c r="Z648" s="378"/>
      <c r="AA648" s="370" t="e">
        <f t="shared" ca="1" si="410"/>
        <v>#NAME?</v>
      </c>
      <c r="AB648" s="183"/>
      <c r="AC648" s="178"/>
      <c r="AD648" s="178"/>
      <c r="AE648" s="178"/>
      <c r="AF648" s="178"/>
      <c r="AG648" s="178"/>
      <c r="AH648" s="178"/>
      <c r="AI648" s="183"/>
      <c r="AJ648" s="378"/>
      <c r="AK648" s="171"/>
      <c r="AL648" s="171"/>
      <c r="AM648" s="171"/>
      <c r="AN648" s="165"/>
      <c r="AO648" s="193"/>
      <c r="AP648" s="193" t="e">
        <f t="shared" ca="1" si="408"/>
        <v>#NAME?</v>
      </c>
      <c r="AQ648" s="200"/>
      <c r="AR648" s="204"/>
      <c r="AS648" s="204"/>
      <c r="AT648" s="204"/>
      <c r="AU648" s="204"/>
      <c r="AV648" s="204"/>
    </row>
    <row r="649" spans="1:48" ht="12" customHeight="1">
      <c r="A649" s="24"/>
      <c r="B649" s="24"/>
      <c r="C649" s="24"/>
      <c r="D649" s="24"/>
      <c r="E649" s="24"/>
      <c r="F649" s="24"/>
      <c r="G649" s="24"/>
      <c r="H649" s="393"/>
      <c r="I649" s="404"/>
      <c r="J649" s="281">
        <v>4</v>
      </c>
      <c r="K649" s="2" t="s">
        <v>417</v>
      </c>
      <c r="L649" s="112">
        <f t="shared" ref="L649:S650" si="430">L650</f>
        <v>0</v>
      </c>
      <c r="M649" s="112">
        <f t="shared" si="430"/>
        <v>0</v>
      </c>
      <c r="N649" s="113">
        <f t="shared" si="430"/>
        <v>0</v>
      </c>
      <c r="O649" s="113">
        <f t="shared" si="430"/>
        <v>0</v>
      </c>
      <c r="P649" s="114">
        <f t="shared" si="430"/>
        <v>66400</v>
      </c>
      <c r="Q649" s="114">
        <f t="shared" si="430"/>
        <v>0</v>
      </c>
      <c r="R649" s="88">
        <f t="shared" si="430"/>
        <v>0</v>
      </c>
      <c r="S649" s="90" t="e">
        <f t="shared" ca="1" si="430"/>
        <v>#NAME?</v>
      </c>
      <c r="T649" s="90"/>
      <c r="U649" s="90"/>
      <c r="V649" s="200">
        <f>V650</f>
        <v>0</v>
      </c>
      <c r="W649" s="200">
        <f t="shared" ref="W649:Z650" si="431">W650</f>
        <v>0</v>
      </c>
      <c r="X649" s="88">
        <f t="shared" si="431"/>
        <v>0</v>
      </c>
      <c r="Y649" s="171">
        <f t="shared" si="431"/>
        <v>0</v>
      </c>
      <c r="Z649" s="171">
        <f t="shared" si="431"/>
        <v>0</v>
      </c>
      <c r="AA649" s="370" t="e">
        <f t="shared" ca="1" si="410"/>
        <v>#NAME?</v>
      </c>
      <c r="AB649" s="171"/>
      <c r="AC649" s="172">
        <f>AC650</f>
        <v>0</v>
      </c>
      <c r="AD649" s="172">
        <f>AD650</f>
        <v>0</v>
      </c>
      <c r="AE649" s="178"/>
      <c r="AF649" s="178"/>
      <c r="AG649" s="178"/>
      <c r="AH649" s="178"/>
      <c r="AI649" s="171"/>
      <c r="AJ649" s="171">
        <v>0</v>
      </c>
      <c r="AK649" s="171"/>
      <c r="AL649" s="171"/>
      <c r="AM649" s="171"/>
      <c r="AN649" s="90"/>
      <c r="AO649" s="193"/>
      <c r="AP649" s="193" t="e">
        <f t="shared" ca="1" si="408"/>
        <v>#NAME?</v>
      </c>
      <c r="AQ649" s="200">
        <f>AQ650</f>
        <v>0</v>
      </c>
      <c r="AR649" s="204"/>
      <c r="AS649" s="204"/>
      <c r="AT649" s="204"/>
      <c r="AU649" s="204"/>
      <c r="AV649" s="204"/>
    </row>
    <row r="650" spans="1:48" ht="12" customHeight="1">
      <c r="A650" s="301"/>
      <c r="B650" s="301"/>
      <c r="C650" s="301"/>
      <c r="D650" s="301"/>
      <c r="E650" s="301"/>
      <c r="F650" s="301"/>
      <c r="G650" s="301"/>
      <c r="H650" s="307"/>
      <c r="I650" s="405"/>
      <c r="J650" s="302">
        <v>42</v>
      </c>
      <c r="K650" s="343" t="s">
        <v>558</v>
      </c>
      <c r="L650" s="112">
        <f t="shared" si="430"/>
        <v>0</v>
      </c>
      <c r="M650" s="112">
        <f t="shared" si="430"/>
        <v>0</v>
      </c>
      <c r="N650" s="113">
        <f t="shared" si="430"/>
        <v>0</v>
      </c>
      <c r="O650" s="113">
        <f t="shared" si="430"/>
        <v>0</v>
      </c>
      <c r="P650" s="114">
        <f t="shared" si="430"/>
        <v>66400</v>
      </c>
      <c r="Q650" s="114">
        <f t="shared" si="430"/>
        <v>0</v>
      </c>
      <c r="R650" s="88">
        <f t="shared" si="430"/>
        <v>0</v>
      </c>
      <c r="S650" s="90" t="e">
        <f t="shared" ca="1" si="430"/>
        <v>#NAME?</v>
      </c>
      <c r="T650" s="90"/>
      <c r="U650" s="90"/>
      <c r="V650" s="200">
        <f>V651</f>
        <v>0</v>
      </c>
      <c r="W650" s="200">
        <f t="shared" si="431"/>
        <v>0</v>
      </c>
      <c r="X650" s="88">
        <f t="shared" si="431"/>
        <v>0</v>
      </c>
      <c r="Y650" s="171">
        <f t="shared" si="431"/>
        <v>0</v>
      </c>
      <c r="Z650" s="171">
        <f t="shared" si="431"/>
        <v>0</v>
      </c>
      <c r="AA650" s="370" t="e">
        <f t="shared" ca="1" si="410"/>
        <v>#NAME?</v>
      </c>
      <c r="AB650" s="171"/>
      <c r="AC650" s="172">
        <f>AC651</f>
        <v>0</v>
      </c>
      <c r="AD650" s="172">
        <f>AD651</f>
        <v>0</v>
      </c>
      <c r="AE650" s="178"/>
      <c r="AF650" s="178"/>
      <c r="AG650" s="178"/>
      <c r="AH650" s="178"/>
      <c r="AI650" s="171"/>
      <c r="AJ650" s="171">
        <v>0</v>
      </c>
      <c r="AK650" s="171"/>
      <c r="AL650" s="171"/>
      <c r="AM650" s="171"/>
      <c r="AN650" s="90"/>
      <c r="AO650" s="193"/>
      <c r="AP650" s="193" t="e">
        <f t="shared" ca="1" si="408"/>
        <v>#NAME?</v>
      </c>
      <c r="AQ650" s="200">
        <f>AQ651</f>
        <v>0</v>
      </c>
      <c r="AR650" s="204"/>
      <c r="AS650" s="204"/>
      <c r="AT650" s="204"/>
      <c r="AU650" s="204"/>
      <c r="AV650" s="204"/>
    </row>
    <row r="651" spans="1:48" ht="12" customHeight="1">
      <c r="A651" s="62"/>
      <c r="B651" s="62"/>
      <c r="C651" s="62"/>
      <c r="D651" s="62"/>
      <c r="E651" s="62"/>
      <c r="F651" s="62"/>
      <c r="G651" s="62"/>
      <c r="H651" s="304"/>
      <c r="I651" s="346"/>
      <c r="J651" s="303">
        <v>426</v>
      </c>
      <c r="K651" s="19" t="s">
        <v>566</v>
      </c>
      <c r="L651" s="112">
        <f t="shared" ref="L651:S651" si="432">L652+L653</f>
        <v>0</v>
      </c>
      <c r="M651" s="112">
        <f t="shared" si="432"/>
        <v>0</v>
      </c>
      <c r="N651" s="113">
        <f t="shared" si="432"/>
        <v>0</v>
      </c>
      <c r="O651" s="113">
        <f t="shared" si="432"/>
        <v>0</v>
      </c>
      <c r="P651" s="114">
        <f t="shared" si="432"/>
        <v>66400</v>
      </c>
      <c r="Q651" s="114">
        <f t="shared" si="432"/>
        <v>0</v>
      </c>
      <c r="R651" s="88">
        <f t="shared" si="432"/>
        <v>0</v>
      </c>
      <c r="S651" s="90" t="e">
        <f t="shared" ca="1" si="432"/>
        <v>#NAME?</v>
      </c>
      <c r="T651" s="90"/>
      <c r="U651" s="90"/>
      <c r="V651" s="200">
        <f>V652+V653</f>
        <v>0</v>
      </c>
      <c r="W651" s="200">
        <f>W652+W653</f>
        <v>0</v>
      </c>
      <c r="X651" s="88">
        <f>X652+X653</f>
        <v>0</v>
      </c>
      <c r="Y651" s="171">
        <f>Y652+Y653</f>
        <v>0</v>
      </c>
      <c r="Z651" s="171">
        <f>Z652+Z653</f>
        <v>0</v>
      </c>
      <c r="AA651" s="370" t="e">
        <f t="shared" ca="1" si="410"/>
        <v>#NAME?</v>
      </c>
      <c r="AB651" s="171"/>
      <c r="AC651" s="172">
        <f>AC652+AC653</f>
        <v>0</v>
      </c>
      <c r="AD651" s="172">
        <f>AD652+AD653</f>
        <v>0</v>
      </c>
      <c r="AE651" s="178"/>
      <c r="AF651" s="178"/>
      <c r="AG651" s="178"/>
      <c r="AH651" s="178"/>
      <c r="AI651" s="171"/>
      <c r="AJ651" s="171">
        <v>0</v>
      </c>
      <c r="AK651" s="171"/>
      <c r="AL651" s="171"/>
      <c r="AM651" s="171"/>
      <c r="AN651" s="90"/>
      <c r="AO651" s="193"/>
      <c r="AP651" s="193" t="e">
        <f t="shared" ca="1" si="408"/>
        <v>#NAME?</v>
      </c>
      <c r="AQ651" s="200">
        <f>AQ652+AQ653</f>
        <v>0</v>
      </c>
      <c r="AR651" s="204"/>
      <c r="AS651" s="204"/>
      <c r="AT651" s="204"/>
      <c r="AU651" s="204"/>
      <c r="AV651" s="204"/>
    </row>
    <row r="652" spans="1:48" ht="12" customHeight="1">
      <c r="A652" s="53"/>
      <c r="B652" s="53"/>
      <c r="C652" s="53"/>
      <c r="D652" s="53"/>
      <c r="E652" s="53"/>
      <c r="F652" s="53"/>
      <c r="G652" s="53"/>
      <c r="H652" s="1" t="s">
        <v>567</v>
      </c>
      <c r="I652" s="345">
        <v>540</v>
      </c>
      <c r="J652" s="229">
        <v>4214</v>
      </c>
      <c r="K652" s="18" t="s">
        <v>568</v>
      </c>
      <c r="L652" s="130">
        <v>0</v>
      </c>
      <c r="M652" s="130">
        <v>0</v>
      </c>
      <c r="N652" s="131">
        <v>0</v>
      </c>
      <c r="O652" s="131">
        <v>0</v>
      </c>
      <c r="P652" s="132">
        <v>66400</v>
      </c>
      <c r="Q652" s="163">
        <v>0</v>
      </c>
      <c r="R652" s="159">
        <v>0</v>
      </c>
      <c r="S652" s="165" t="e">
        <f ca="1">__xlfn.XLOOKUP(H652,[1]Izvršenje_proračuna_po_pozicija!$B$2:$B$153,[1]Izvršenje_proračuna_po_pozicija!$E$2:$E$153,0)</f>
        <v>#NAME?</v>
      </c>
      <c r="T652" s="165"/>
      <c r="U652" s="165"/>
      <c r="V652" s="200"/>
      <c r="W652" s="200"/>
      <c r="X652" s="164"/>
      <c r="Y652" s="378"/>
      <c r="Z652" s="378"/>
      <c r="AA652" s="370" t="e">
        <f t="shared" ca="1" si="410"/>
        <v>#NAME?</v>
      </c>
      <c r="AB652" s="183"/>
      <c r="AC652" s="178">
        <v>0</v>
      </c>
      <c r="AD652" s="178">
        <v>0</v>
      </c>
      <c r="AE652" s="178"/>
      <c r="AF652" s="178"/>
      <c r="AG652" s="178"/>
      <c r="AH652" s="178"/>
      <c r="AI652" s="183"/>
      <c r="AJ652" s="378"/>
      <c r="AK652" s="171"/>
      <c r="AL652" s="171"/>
      <c r="AM652" s="171"/>
      <c r="AN652" s="165"/>
      <c r="AO652" s="193"/>
      <c r="AP652" s="193" t="e">
        <f t="shared" ca="1" si="408"/>
        <v>#NAME?</v>
      </c>
      <c r="AQ652" s="200"/>
      <c r="AR652" s="204"/>
      <c r="AS652" s="204"/>
      <c r="AT652" s="204"/>
      <c r="AU652" s="204"/>
      <c r="AV652" s="204"/>
    </row>
    <row r="653" spans="1:48" ht="12" customHeight="1">
      <c r="A653" s="42"/>
      <c r="B653" s="42"/>
      <c r="C653" s="42"/>
      <c r="D653" s="42"/>
      <c r="E653" s="42"/>
      <c r="F653" s="42"/>
      <c r="G653" s="42"/>
      <c r="H653" s="308"/>
      <c r="I653" s="14"/>
      <c r="J653" s="2"/>
      <c r="K653" s="84"/>
      <c r="L653" s="85"/>
      <c r="M653" s="85"/>
      <c r="N653" s="86"/>
      <c r="O653" s="86"/>
      <c r="P653" s="87"/>
      <c r="Q653" s="87"/>
      <c r="R653" s="160"/>
      <c r="S653" s="165" t="e">
        <f ca="1">__xlfn.XLOOKUP(H653,[1]Izvršenje_proračuna_po_pozicija!$B$2:$B$153,[1]Izvršenje_proračuna_po_pozicija!$E$2:$E$153,0)</f>
        <v>#NAME?</v>
      </c>
      <c r="T653" s="165"/>
      <c r="U653" s="165"/>
      <c r="V653" s="200"/>
      <c r="W653" s="200"/>
      <c r="X653" s="361"/>
      <c r="Y653" s="373"/>
      <c r="Z653" s="373"/>
      <c r="AA653" s="370" t="e">
        <f t="shared" ca="1" si="410"/>
        <v>#NAME?</v>
      </c>
      <c r="AB653" s="181"/>
      <c r="AC653" s="182"/>
      <c r="AD653" s="182"/>
      <c r="AE653" s="178"/>
      <c r="AF653" s="178"/>
      <c r="AG653" s="178"/>
      <c r="AH653" s="178"/>
      <c r="AI653" s="181"/>
      <c r="AJ653" s="373"/>
      <c r="AK653" s="171"/>
      <c r="AL653" s="171"/>
      <c r="AM653" s="171"/>
      <c r="AN653" s="161"/>
      <c r="AO653" s="193"/>
      <c r="AP653" s="193" t="e">
        <f t="shared" ca="1" si="408"/>
        <v>#NAME?</v>
      </c>
      <c r="AQ653" s="200"/>
      <c r="AR653" s="204"/>
      <c r="AS653" s="204"/>
      <c r="AT653" s="204"/>
      <c r="AU653" s="204"/>
      <c r="AV653" s="204"/>
    </row>
    <row r="654" spans="1:48" ht="12" customHeight="1">
      <c r="A654" s="471"/>
      <c r="B654" s="471"/>
      <c r="C654" s="471"/>
      <c r="D654" s="471"/>
      <c r="E654" s="471"/>
      <c r="F654" s="471"/>
      <c r="G654" s="471"/>
      <c r="H654" s="472"/>
      <c r="I654" s="477" t="s">
        <v>569</v>
      </c>
      <c r="J654" s="451"/>
      <c r="K654" s="127"/>
      <c r="L654" s="112">
        <f t="shared" ref="L654:S654" si="433">L655+L668+L675+L685+L692+L699+L706+L713+L720+L734+L741+L753+L761</f>
        <v>2486345</v>
      </c>
      <c r="M654" s="112">
        <f t="shared" si="433"/>
        <v>329994.69108766335</v>
      </c>
      <c r="N654" s="113">
        <f t="shared" si="433"/>
        <v>3560747</v>
      </c>
      <c r="O654" s="113">
        <f t="shared" si="433"/>
        <v>472592.34189395449</v>
      </c>
      <c r="P654" s="114">
        <f t="shared" si="433"/>
        <v>1324800</v>
      </c>
      <c r="Q654" s="114">
        <f t="shared" si="433"/>
        <v>1018000</v>
      </c>
      <c r="R654" s="88">
        <f t="shared" si="433"/>
        <v>993784</v>
      </c>
      <c r="S654" s="90" t="e">
        <f t="shared" ca="1" si="433"/>
        <v>#NAME?</v>
      </c>
      <c r="T654" s="90"/>
      <c r="U654" s="90"/>
      <c r="V654" s="200">
        <f>V655+V668+V675+V685+V692+V699+V706+V713+V720+V734+V741+V753+V761</f>
        <v>1039000</v>
      </c>
      <c r="W654" s="200">
        <f>W655+W668+W675+W685+W692+W699+W706+W713+W720+W734+W741+W753+W761</f>
        <v>1039771</v>
      </c>
      <c r="X654" s="88">
        <f>X655+X668+X675+X685+X692+X699+X706+X713+X720+X734+X741+X753+X761</f>
        <v>1074000</v>
      </c>
      <c r="Y654" s="171">
        <f>Y655+Y668+Y675+Y685+Y692+Y699+Y706+Y713+Y720+Y734+Y741+Y753+Y761</f>
        <v>832000</v>
      </c>
      <c r="Z654" s="171">
        <f>Z655+Z668+Z675+Z685+Z692+Z699+Z706+Z713+Z720+Z734+Z741+Z753+Z761</f>
        <v>0</v>
      </c>
      <c r="AA654" s="370" t="e">
        <f t="shared" ca="1" si="410"/>
        <v>#NAME?</v>
      </c>
      <c r="AB654" s="171"/>
      <c r="AC654" s="172">
        <f>AC655+AC668+AC675+AC685+AC692+AC699+AC706+AC713+AC720+AC734+AC741+AC753+AC761</f>
        <v>598000</v>
      </c>
      <c r="AD654" s="172">
        <f>AD655+AD668+AD675+AD685+AD692+AD699+AD706+AD713+AD720+AD734+AD741+AD753+AD761</f>
        <v>598000</v>
      </c>
      <c r="AE654" s="178">
        <f>O654/M654*100</f>
        <v>143.21210451486019</v>
      </c>
      <c r="AF654" s="178">
        <f>P654/O654*100</f>
        <v>280.32616751485011</v>
      </c>
      <c r="AG654" s="178">
        <f>Q654/P654*100</f>
        <v>76.841787439613526</v>
      </c>
      <c r="AH654" s="178">
        <f>AC654/Q654*100</f>
        <v>58.742632612966602</v>
      </c>
      <c r="AI654" s="171"/>
      <c r="AJ654" s="171">
        <v>832000</v>
      </c>
      <c r="AK654" s="171">
        <f>W654/R654*100</f>
        <v>104.62746431820193</v>
      </c>
      <c r="AL654" s="171">
        <f t="shared" si="412"/>
        <v>103.29197486754296</v>
      </c>
      <c r="AM654" s="171">
        <f t="shared" si="404"/>
        <v>77.467411545623833</v>
      </c>
      <c r="AN654" s="90"/>
      <c r="AO654" s="193"/>
      <c r="AP654" s="193" t="e">
        <f t="shared" ca="1" si="408"/>
        <v>#NAME?</v>
      </c>
      <c r="AQ654" s="200">
        <f>AQ655+AQ668+AQ675+AQ685+AQ692+AQ699+AQ706+AQ713+AQ720+AQ734+AQ741+AQ753+AQ761</f>
        <v>916524.94</v>
      </c>
      <c r="AR654" s="204">
        <f>V654/R654*100</f>
        <v>104.54988206692803</v>
      </c>
      <c r="AS654" s="204">
        <f>W654/V654*100</f>
        <v>100.07420596727623</v>
      </c>
      <c r="AT654" s="204">
        <f>W654/R654*100</f>
        <v>104.62746431820193</v>
      </c>
      <c r="AU654" s="204">
        <f>AQ654/W654*100</f>
        <v>88.146807325843852</v>
      </c>
      <c r="AV654" s="204">
        <f>AQ654/R654*100</f>
        <v>92.225769382481502</v>
      </c>
    </row>
    <row r="655" spans="1:48" ht="12" customHeight="1">
      <c r="A655" s="56" t="s">
        <v>331</v>
      </c>
      <c r="B655" s="56"/>
      <c r="C655" s="56"/>
      <c r="D655" s="56"/>
      <c r="E655" s="56"/>
      <c r="F655" s="56"/>
      <c r="G655" s="56"/>
      <c r="H655" s="461"/>
      <c r="I655" s="478" t="s">
        <v>570</v>
      </c>
      <c r="J655" s="479"/>
      <c r="K655" s="480"/>
      <c r="L655" s="311">
        <f t="shared" ref="L655:S655" si="434">L663+L657</f>
        <v>156682</v>
      </c>
      <c r="M655" s="311">
        <f t="shared" si="434"/>
        <v>20795.275068020437</v>
      </c>
      <c r="N655" s="312">
        <f t="shared" si="434"/>
        <v>315000</v>
      </c>
      <c r="O655" s="312">
        <f t="shared" si="434"/>
        <v>41807.684650607203</v>
      </c>
      <c r="P655" s="313">
        <f t="shared" si="434"/>
        <v>51500</v>
      </c>
      <c r="Q655" s="313">
        <f t="shared" si="434"/>
        <v>5000</v>
      </c>
      <c r="R655" s="96">
        <f t="shared" si="434"/>
        <v>0</v>
      </c>
      <c r="S655" s="98" t="e">
        <f t="shared" ca="1" si="434"/>
        <v>#NAME?</v>
      </c>
      <c r="T655" s="98"/>
      <c r="U655" s="98"/>
      <c r="V655" s="200">
        <f>V663+V657</f>
        <v>50000</v>
      </c>
      <c r="W655" s="200">
        <f>W663+W657</f>
        <v>50000</v>
      </c>
      <c r="X655" s="96">
        <f>X663+X657</f>
        <v>19000</v>
      </c>
      <c r="Y655" s="173">
        <f>Y663+Y657</f>
        <v>55000</v>
      </c>
      <c r="Z655" s="173">
        <f>Z663+Z657</f>
        <v>0</v>
      </c>
      <c r="AA655" s="370" t="e">
        <f t="shared" ca="1" si="410"/>
        <v>#NAME?</v>
      </c>
      <c r="AB655" s="173"/>
      <c r="AC655" s="174">
        <f>AC663+AC657</f>
        <v>52000</v>
      </c>
      <c r="AD655" s="174">
        <f>AD663+AD657</f>
        <v>52000</v>
      </c>
      <c r="AE655" s="178">
        <f>O655/M655*100</f>
        <v>201.04415312543878</v>
      </c>
      <c r="AF655" s="178">
        <f>P655/O655*100</f>
        <v>123.18309523809525</v>
      </c>
      <c r="AG655" s="178">
        <f>Q655/P655*100</f>
        <v>9.7087378640776691</v>
      </c>
      <c r="AH655" s="178"/>
      <c r="AI655" s="173"/>
      <c r="AJ655" s="173">
        <v>55000</v>
      </c>
      <c r="AK655" s="171"/>
      <c r="AL655" s="171">
        <f t="shared" si="412"/>
        <v>38</v>
      </c>
      <c r="AM655" s="171">
        <f t="shared" si="404"/>
        <v>289.4736842105263</v>
      </c>
      <c r="AN655" s="98"/>
      <c r="AO655" s="193"/>
      <c r="AP655" s="193" t="e">
        <f t="shared" ca="1" si="408"/>
        <v>#NAME?</v>
      </c>
      <c r="AQ655" s="200">
        <f>AQ663+AQ657</f>
        <v>13727.1</v>
      </c>
      <c r="AR655" s="204"/>
      <c r="AS655" s="204">
        <f>W655/V655*100</f>
        <v>100</v>
      </c>
      <c r="AT655" s="204"/>
      <c r="AU655" s="204">
        <f>AQ655/W655*100</f>
        <v>27.4542</v>
      </c>
      <c r="AV655" s="204"/>
    </row>
    <row r="656" spans="1:48" ht="12" customHeight="1">
      <c r="A656" s="42"/>
      <c r="B656" s="42"/>
      <c r="C656" s="42"/>
      <c r="D656" s="42"/>
      <c r="E656" s="42"/>
      <c r="F656" s="42"/>
      <c r="G656" s="42"/>
      <c r="H656" s="308"/>
      <c r="I656" s="14"/>
      <c r="J656" s="2"/>
      <c r="K656" s="84"/>
      <c r="L656" s="85"/>
      <c r="M656" s="85"/>
      <c r="N656" s="86"/>
      <c r="O656" s="86"/>
      <c r="P656" s="87"/>
      <c r="Q656" s="87"/>
      <c r="R656" s="160"/>
      <c r="S656" s="165" t="e">
        <f ca="1">__xlfn.XLOOKUP(H656,[1]Izvršenje_proračuna_po_pozicija!$B$2:$B$153,[1]Izvršenje_proračuna_po_pozicija!$E$2:$E$153,0)</f>
        <v>#NAME?</v>
      </c>
      <c r="T656" s="165"/>
      <c r="U656" s="165"/>
      <c r="V656" s="200"/>
      <c r="W656" s="200"/>
      <c r="X656" s="361"/>
      <c r="Y656" s="373"/>
      <c r="Z656" s="373"/>
      <c r="AA656" s="370" t="e">
        <f t="shared" ca="1" si="410"/>
        <v>#NAME?</v>
      </c>
      <c r="AB656" s="181"/>
      <c r="AC656" s="182"/>
      <c r="AD656" s="182"/>
      <c r="AE656" s="178"/>
      <c r="AF656" s="178"/>
      <c r="AG656" s="178"/>
      <c r="AH656" s="178"/>
      <c r="AI656" s="181"/>
      <c r="AJ656" s="373"/>
      <c r="AK656" s="171"/>
      <c r="AL656" s="171"/>
      <c r="AM656" s="171"/>
      <c r="AN656" s="161"/>
      <c r="AO656" s="193"/>
      <c r="AP656" s="193" t="e">
        <f t="shared" ca="1" si="408"/>
        <v>#NAME?</v>
      </c>
      <c r="AQ656" s="200"/>
      <c r="AR656" s="204"/>
      <c r="AS656" s="204"/>
      <c r="AT656" s="204"/>
      <c r="AU656" s="204"/>
      <c r="AV656" s="204"/>
    </row>
    <row r="657" spans="1:48" ht="12" customHeight="1">
      <c r="A657" s="24"/>
      <c r="B657" s="24"/>
      <c r="C657" s="24"/>
      <c r="D657" s="24"/>
      <c r="E657" s="24"/>
      <c r="F657" s="24"/>
      <c r="G657" s="24"/>
      <c r="H657" s="393"/>
      <c r="I657" s="8"/>
      <c r="J657" s="281">
        <v>3</v>
      </c>
      <c r="K657" s="2" t="s">
        <v>224</v>
      </c>
      <c r="L657" s="112">
        <f t="shared" ref="L657:AD659" si="435">L658</f>
        <v>0</v>
      </c>
      <c r="M657" s="112">
        <f t="shared" si="435"/>
        <v>0</v>
      </c>
      <c r="N657" s="113">
        <f t="shared" si="435"/>
        <v>0</v>
      </c>
      <c r="O657" s="113">
        <f t="shared" si="435"/>
        <v>0</v>
      </c>
      <c r="P657" s="114">
        <f t="shared" si="435"/>
        <v>5000</v>
      </c>
      <c r="Q657" s="114">
        <f t="shared" si="435"/>
        <v>0</v>
      </c>
      <c r="R657" s="88">
        <f t="shared" si="435"/>
        <v>0</v>
      </c>
      <c r="S657" s="90" t="e">
        <f t="shared" ca="1" si="435"/>
        <v>#NAME?</v>
      </c>
      <c r="T657" s="90"/>
      <c r="U657" s="90"/>
      <c r="V657" s="200">
        <f>V658</f>
        <v>0</v>
      </c>
      <c r="W657" s="200">
        <f t="shared" si="435"/>
        <v>0</v>
      </c>
      <c r="X657" s="88">
        <f t="shared" si="435"/>
        <v>5000</v>
      </c>
      <c r="Y657" s="171">
        <f t="shared" si="435"/>
        <v>5000</v>
      </c>
      <c r="Z657" s="171">
        <f t="shared" si="435"/>
        <v>0</v>
      </c>
      <c r="AA657" s="370" t="e">
        <f t="shared" ca="1" si="410"/>
        <v>#NAME?</v>
      </c>
      <c r="AB657" s="171"/>
      <c r="AC657" s="172">
        <f t="shared" si="435"/>
        <v>5000</v>
      </c>
      <c r="AD657" s="172">
        <f t="shared" si="435"/>
        <v>5000</v>
      </c>
      <c r="AE657" s="178"/>
      <c r="AF657" s="178"/>
      <c r="AG657" s="178"/>
      <c r="AH657" s="178"/>
      <c r="AI657" s="171"/>
      <c r="AJ657" s="171">
        <v>5000</v>
      </c>
      <c r="AK657" s="171"/>
      <c r="AL657" s="171"/>
      <c r="AM657" s="171">
        <f t="shared" si="404"/>
        <v>100</v>
      </c>
      <c r="AN657" s="90"/>
      <c r="AO657" s="193"/>
      <c r="AP657" s="193" t="e">
        <f t="shared" ca="1" si="408"/>
        <v>#NAME?</v>
      </c>
      <c r="AQ657" s="200">
        <f>AQ658</f>
        <v>1250</v>
      </c>
      <c r="AR657" s="204"/>
      <c r="AS657" s="204"/>
      <c r="AT657" s="204"/>
      <c r="AU657" s="204"/>
      <c r="AV657" s="204"/>
    </row>
    <row r="658" spans="1:48" ht="12" customHeight="1">
      <c r="A658" s="301"/>
      <c r="B658" s="301"/>
      <c r="C658" s="301"/>
      <c r="D658" s="301"/>
      <c r="E658" s="301"/>
      <c r="F658" s="301"/>
      <c r="G658" s="301"/>
      <c r="H658" s="307"/>
      <c r="I658" s="9"/>
      <c r="J658" s="302">
        <v>32</v>
      </c>
      <c r="K658" s="343" t="s">
        <v>233</v>
      </c>
      <c r="L658" s="112">
        <f t="shared" si="435"/>
        <v>0</v>
      </c>
      <c r="M658" s="112">
        <f t="shared" si="435"/>
        <v>0</v>
      </c>
      <c r="N658" s="113">
        <f t="shared" si="435"/>
        <v>0</v>
      </c>
      <c r="O658" s="113">
        <f t="shared" si="435"/>
        <v>0</v>
      </c>
      <c r="P658" s="114">
        <f t="shared" si="435"/>
        <v>5000</v>
      </c>
      <c r="Q658" s="114">
        <f t="shared" si="435"/>
        <v>0</v>
      </c>
      <c r="R658" s="88">
        <f t="shared" si="435"/>
        <v>0</v>
      </c>
      <c r="S658" s="90" t="e">
        <f t="shared" ca="1" si="435"/>
        <v>#NAME?</v>
      </c>
      <c r="T658" s="90"/>
      <c r="U658" s="90"/>
      <c r="V658" s="200">
        <f>V659</f>
        <v>0</v>
      </c>
      <c r="W658" s="200">
        <f t="shared" si="435"/>
        <v>0</v>
      </c>
      <c r="X658" s="88">
        <f t="shared" si="435"/>
        <v>5000</v>
      </c>
      <c r="Y658" s="171">
        <f t="shared" si="435"/>
        <v>5000</v>
      </c>
      <c r="Z658" s="171">
        <f t="shared" si="435"/>
        <v>0</v>
      </c>
      <c r="AA658" s="370" t="e">
        <f t="shared" ca="1" si="410"/>
        <v>#NAME?</v>
      </c>
      <c r="AB658" s="171"/>
      <c r="AC658" s="172">
        <f t="shared" si="435"/>
        <v>5000</v>
      </c>
      <c r="AD658" s="172">
        <f t="shared" si="435"/>
        <v>5000</v>
      </c>
      <c r="AE658" s="178"/>
      <c r="AF658" s="178"/>
      <c r="AG658" s="178"/>
      <c r="AH658" s="178"/>
      <c r="AI658" s="171"/>
      <c r="AJ658" s="171">
        <v>5000</v>
      </c>
      <c r="AK658" s="171"/>
      <c r="AL658" s="171"/>
      <c r="AM658" s="171">
        <f t="shared" si="404"/>
        <v>100</v>
      </c>
      <c r="AN658" s="90"/>
      <c r="AO658" s="193"/>
      <c r="AP658" s="193" t="e">
        <f t="shared" ca="1" si="408"/>
        <v>#NAME?</v>
      </c>
      <c r="AQ658" s="200">
        <f>AQ659</f>
        <v>1250</v>
      </c>
      <c r="AR658" s="204"/>
      <c r="AS658" s="204"/>
      <c r="AT658" s="204"/>
      <c r="AU658" s="204"/>
      <c r="AV658" s="204"/>
    </row>
    <row r="659" spans="1:48" ht="12" customHeight="1">
      <c r="A659" s="62"/>
      <c r="B659" s="473"/>
      <c r="C659" s="473"/>
      <c r="D659" s="473"/>
      <c r="E659" s="473"/>
      <c r="F659" s="473"/>
      <c r="G659" s="473"/>
      <c r="H659" s="474"/>
      <c r="I659" s="464"/>
      <c r="J659" s="303">
        <v>323</v>
      </c>
      <c r="K659" s="19" t="s">
        <v>356</v>
      </c>
      <c r="L659" s="112">
        <f t="shared" si="435"/>
        <v>0</v>
      </c>
      <c r="M659" s="112">
        <f t="shared" si="435"/>
        <v>0</v>
      </c>
      <c r="N659" s="113">
        <f t="shared" si="435"/>
        <v>0</v>
      </c>
      <c r="O659" s="113">
        <f t="shared" si="435"/>
        <v>0</v>
      </c>
      <c r="P659" s="114">
        <f t="shared" si="435"/>
        <v>5000</v>
      </c>
      <c r="Q659" s="114">
        <f t="shared" si="435"/>
        <v>0</v>
      </c>
      <c r="R659" s="88">
        <f t="shared" si="435"/>
        <v>0</v>
      </c>
      <c r="S659" s="90" t="e">
        <f t="shared" ca="1" si="435"/>
        <v>#NAME?</v>
      </c>
      <c r="T659" s="90"/>
      <c r="U659" s="90"/>
      <c r="V659" s="200">
        <f>V660</f>
        <v>0</v>
      </c>
      <c r="W659" s="200">
        <f t="shared" si="435"/>
        <v>0</v>
      </c>
      <c r="X659" s="88">
        <f t="shared" si="435"/>
        <v>5000</v>
      </c>
      <c r="Y659" s="171">
        <f t="shared" si="435"/>
        <v>5000</v>
      </c>
      <c r="Z659" s="171">
        <f t="shared" si="435"/>
        <v>0</v>
      </c>
      <c r="AA659" s="370" t="e">
        <f t="shared" ca="1" si="410"/>
        <v>#NAME?</v>
      </c>
      <c r="AB659" s="171"/>
      <c r="AC659" s="172">
        <f>AC660</f>
        <v>5000</v>
      </c>
      <c r="AD659" s="172">
        <f>AD660</f>
        <v>5000</v>
      </c>
      <c r="AE659" s="178"/>
      <c r="AF659" s="178"/>
      <c r="AG659" s="178"/>
      <c r="AH659" s="178"/>
      <c r="AI659" s="171"/>
      <c r="AJ659" s="171">
        <v>5000</v>
      </c>
      <c r="AK659" s="171"/>
      <c r="AL659" s="171"/>
      <c r="AM659" s="171">
        <f t="shared" si="404"/>
        <v>100</v>
      </c>
      <c r="AN659" s="90"/>
      <c r="AO659" s="193"/>
      <c r="AP659" s="193" t="e">
        <f t="shared" ca="1" si="408"/>
        <v>#NAME?</v>
      </c>
      <c r="AQ659" s="200">
        <f>AQ660</f>
        <v>1250</v>
      </c>
      <c r="AR659" s="204"/>
      <c r="AS659" s="204"/>
      <c r="AT659" s="204"/>
      <c r="AU659" s="204"/>
      <c r="AV659" s="204"/>
    </row>
    <row r="660" spans="1:48" ht="12" customHeight="1">
      <c r="A660" s="209"/>
      <c r="B660" s="209"/>
      <c r="C660" s="209"/>
      <c r="D660" s="209"/>
      <c r="E660" s="209"/>
      <c r="F660" s="209"/>
      <c r="G660" s="209"/>
      <c r="H660" s="21" t="s">
        <v>571</v>
      </c>
      <c r="I660" s="397">
        <v>620</v>
      </c>
      <c r="J660" s="229">
        <v>3237</v>
      </c>
      <c r="K660" s="18" t="s">
        <v>572</v>
      </c>
      <c r="L660" s="130">
        <v>0</v>
      </c>
      <c r="M660" s="130">
        <v>0</v>
      </c>
      <c r="N660" s="131">
        <v>0</v>
      </c>
      <c r="O660" s="131">
        <v>0</v>
      </c>
      <c r="P660" s="132">
        <v>5000</v>
      </c>
      <c r="Q660" s="163">
        <v>0</v>
      </c>
      <c r="R660" s="159">
        <v>0</v>
      </c>
      <c r="S660" s="165" t="e">
        <f ca="1">__xlfn.XLOOKUP(H660,[1]Izvršenje_proračuna_po_pozicija!$B$2:$B$153,[1]Izvršenje_proračuna_po_pozicija!$E$2:$E$153,0)</f>
        <v>#NAME?</v>
      </c>
      <c r="T660" s="165"/>
      <c r="U660" s="165"/>
      <c r="V660" s="200">
        <v>0</v>
      </c>
      <c r="W660" s="200">
        <v>0</v>
      </c>
      <c r="X660" s="164">
        <v>5000</v>
      </c>
      <c r="Y660" s="378">
        <v>5000</v>
      </c>
      <c r="Z660" s="378"/>
      <c r="AA660" s="370" t="e">
        <f t="shared" ca="1" si="410"/>
        <v>#NAME?</v>
      </c>
      <c r="AB660" s="183"/>
      <c r="AC660" s="178">
        <v>5000</v>
      </c>
      <c r="AD660" s="178">
        <v>5000</v>
      </c>
      <c r="AE660" s="178"/>
      <c r="AF660" s="178"/>
      <c r="AG660" s="178"/>
      <c r="AH660" s="178"/>
      <c r="AI660" s="183"/>
      <c r="AJ660" s="378">
        <v>5000</v>
      </c>
      <c r="AK660" s="171"/>
      <c r="AL660" s="171"/>
      <c r="AM660" s="171">
        <f t="shared" si="404"/>
        <v>100</v>
      </c>
      <c r="AN660" s="165"/>
      <c r="AO660" s="193"/>
      <c r="AP660" s="193" t="e">
        <f t="shared" ca="1" si="408"/>
        <v>#NAME?</v>
      </c>
      <c r="AQ660" s="200">
        <v>1250</v>
      </c>
      <c r="AR660" s="204"/>
      <c r="AS660" s="204"/>
      <c r="AT660" s="204"/>
      <c r="AU660" s="204"/>
      <c r="AV660" s="204"/>
    </row>
    <row r="661" spans="1:48" ht="12" customHeight="1">
      <c r="A661" s="69"/>
      <c r="B661" s="69"/>
      <c r="C661" s="69"/>
      <c r="D661" s="69"/>
      <c r="E661" s="69"/>
      <c r="F661" s="69"/>
      <c r="G661" s="69"/>
      <c r="H661" s="389"/>
      <c r="I661" s="341"/>
      <c r="J661" s="281"/>
      <c r="K661" s="70"/>
      <c r="L661" s="217"/>
      <c r="M661" s="217"/>
      <c r="N661" s="218"/>
      <c r="O661" s="218"/>
      <c r="P661" s="219"/>
      <c r="Q661" s="219"/>
      <c r="R661" s="282"/>
      <c r="S661" s="165" t="e">
        <f ca="1">__xlfn.XLOOKUP(H661,[1]Izvršenje_proračuna_po_pozicija!$B$2:$B$153,[1]Izvršenje_proračuna_po_pozicija!$E$2:$E$153,0)</f>
        <v>#NAME?</v>
      </c>
      <c r="T661" s="165"/>
      <c r="U661" s="165"/>
      <c r="V661" s="200"/>
      <c r="W661" s="200"/>
      <c r="X661" s="167"/>
      <c r="Y661" s="424"/>
      <c r="Z661" s="424"/>
      <c r="AA661" s="370" t="e">
        <f t="shared" ca="1" si="410"/>
        <v>#NAME?</v>
      </c>
      <c r="AB661" s="223"/>
      <c r="AC661" s="224"/>
      <c r="AD661" s="224"/>
      <c r="AE661" s="178"/>
      <c r="AF661" s="178"/>
      <c r="AG661" s="178"/>
      <c r="AH661" s="178"/>
      <c r="AI661" s="223"/>
      <c r="AJ661" s="424"/>
      <c r="AK661" s="171"/>
      <c r="AL661" s="171"/>
      <c r="AM661" s="171"/>
      <c r="AN661" s="222"/>
      <c r="AO661" s="193"/>
      <c r="AP661" s="193" t="e">
        <f t="shared" ca="1" si="408"/>
        <v>#NAME?</v>
      </c>
      <c r="AQ661" s="200"/>
      <c r="AR661" s="204"/>
      <c r="AS661" s="204"/>
      <c r="AT661" s="204"/>
      <c r="AU661" s="204"/>
      <c r="AV661" s="204"/>
    </row>
    <row r="662" spans="1:48" ht="12" customHeight="1">
      <c r="A662" s="42"/>
      <c r="B662" s="42"/>
      <c r="C662" s="42"/>
      <c r="D662" s="42"/>
      <c r="E662" s="42"/>
      <c r="F662" s="42"/>
      <c r="G662" s="42"/>
      <c r="H662" s="308"/>
      <c r="I662" s="14"/>
      <c r="J662" s="2"/>
      <c r="K662" s="84"/>
      <c r="L662" s="85">
        <v>1</v>
      </c>
      <c r="M662" s="85">
        <v>2</v>
      </c>
      <c r="N662" s="86">
        <v>3</v>
      </c>
      <c r="O662" s="86">
        <v>4</v>
      </c>
      <c r="P662" s="87">
        <v>5</v>
      </c>
      <c r="Q662" s="87">
        <v>6</v>
      </c>
      <c r="R662" s="160"/>
      <c r="S662" s="165" t="e">
        <f ca="1">__xlfn.XLOOKUP(H662,[1]Izvršenje_proračuna_po_pozicija!$B$2:$B$153,[1]Izvršenje_proračuna_po_pozicija!$E$2:$E$153,0)</f>
        <v>#NAME?</v>
      </c>
      <c r="T662" s="165"/>
      <c r="U662" s="165"/>
      <c r="V662" s="200"/>
      <c r="W662" s="200"/>
      <c r="X662" s="361"/>
      <c r="Y662" s="373"/>
      <c r="Z662" s="373"/>
      <c r="AA662" s="370" t="e">
        <f t="shared" ca="1" si="410"/>
        <v>#NAME?</v>
      </c>
      <c r="AB662" s="181"/>
      <c r="AC662" s="182">
        <v>7</v>
      </c>
      <c r="AD662" s="182">
        <v>8</v>
      </c>
      <c r="AE662" s="182">
        <v>9</v>
      </c>
      <c r="AF662" s="182">
        <v>10</v>
      </c>
      <c r="AG662" s="182">
        <v>11</v>
      </c>
      <c r="AH662" s="182">
        <v>12</v>
      </c>
      <c r="AI662" s="181"/>
      <c r="AJ662" s="373"/>
      <c r="AK662" s="171"/>
      <c r="AL662" s="171"/>
      <c r="AM662" s="171"/>
      <c r="AN662" s="161"/>
      <c r="AO662" s="193"/>
      <c r="AP662" s="193" t="e">
        <f t="shared" ca="1" si="408"/>
        <v>#NAME?</v>
      </c>
      <c r="AQ662" s="200"/>
      <c r="AR662" s="204"/>
      <c r="AS662" s="204"/>
      <c r="AT662" s="204"/>
      <c r="AU662" s="204"/>
      <c r="AV662" s="204"/>
    </row>
    <row r="663" spans="1:48" ht="12" customHeight="1">
      <c r="A663" s="42"/>
      <c r="B663" s="42"/>
      <c r="C663" s="42"/>
      <c r="D663" s="42"/>
      <c r="E663" s="42"/>
      <c r="F663" s="42"/>
      <c r="G663" s="42"/>
      <c r="H663" s="475"/>
      <c r="I663" s="465"/>
      <c r="J663" s="281">
        <v>4</v>
      </c>
      <c r="K663" s="2" t="s">
        <v>417</v>
      </c>
      <c r="L663" s="112">
        <f t="shared" ref="L663:Z665" si="436">L664</f>
        <v>156682</v>
      </c>
      <c r="M663" s="112">
        <f t="shared" si="436"/>
        <v>20795.275068020437</v>
      </c>
      <c r="N663" s="113">
        <f t="shared" si="436"/>
        <v>315000</v>
      </c>
      <c r="O663" s="113">
        <f t="shared" si="436"/>
        <v>41807.684650607203</v>
      </c>
      <c r="P663" s="114">
        <f t="shared" si="436"/>
        <v>46500</v>
      </c>
      <c r="Q663" s="114">
        <f t="shared" si="436"/>
        <v>5000</v>
      </c>
      <c r="R663" s="88">
        <f t="shared" si="436"/>
        <v>0</v>
      </c>
      <c r="S663" s="90" t="e">
        <f t="shared" ca="1" si="436"/>
        <v>#NAME?</v>
      </c>
      <c r="T663" s="90"/>
      <c r="U663" s="90"/>
      <c r="V663" s="200">
        <f>V664</f>
        <v>50000</v>
      </c>
      <c r="W663" s="200">
        <f t="shared" si="436"/>
        <v>50000</v>
      </c>
      <c r="X663" s="88">
        <f t="shared" si="436"/>
        <v>14000</v>
      </c>
      <c r="Y663" s="171">
        <f t="shared" si="436"/>
        <v>50000</v>
      </c>
      <c r="Z663" s="171">
        <f t="shared" si="436"/>
        <v>0</v>
      </c>
      <c r="AA663" s="370" t="e">
        <f t="shared" ca="1" si="410"/>
        <v>#NAME?</v>
      </c>
      <c r="AB663" s="171"/>
      <c r="AC663" s="172">
        <f t="shared" ref="AC663:AD665" si="437">AC664</f>
        <v>47000</v>
      </c>
      <c r="AD663" s="172">
        <f t="shared" si="437"/>
        <v>47000</v>
      </c>
      <c r="AE663" s="178">
        <f>O663/M663*100</f>
        <v>201.04415312543878</v>
      </c>
      <c r="AF663" s="178">
        <f t="shared" ref="AF663:AG666" si="438">P663/O663*100</f>
        <v>111.22357142857145</v>
      </c>
      <c r="AG663" s="178">
        <f t="shared" si="438"/>
        <v>10.75268817204301</v>
      </c>
      <c r="AH663" s="178">
        <f>AC663/Q663*100</f>
        <v>940</v>
      </c>
      <c r="AI663" s="171"/>
      <c r="AJ663" s="171">
        <v>50000</v>
      </c>
      <c r="AK663" s="171"/>
      <c r="AL663" s="171">
        <f t="shared" ref="AL663:AM666" si="439">X663/W663*100</f>
        <v>28.000000000000004</v>
      </c>
      <c r="AM663" s="171">
        <f t="shared" si="439"/>
        <v>357.14285714285717</v>
      </c>
      <c r="AN663" s="90"/>
      <c r="AO663" s="193"/>
      <c r="AP663" s="193" t="e">
        <f t="shared" ca="1" si="408"/>
        <v>#NAME?</v>
      </c>
      <c r="AQ663" s="200">
        <f>AQ664</f>
        <v>12477.1</v>
      </c>
      <c r="AR663" s="204"/>
      <c r="AS663" s="204">
        <f>W663/V663*100</f>
        <v>100</v>
      </c>
      <c r="AT663" s="204"/>
      <c r="AU663" s="204">
        <f>AQ663/W663*100</f>
        <v>24.9542</v>
      </c>
      <c r="AV663" s="204"/>
    </row>
    <row r="664" spans="1:48" ht="12" customHeight="1">
      <c r="A664" s="476"/>
      <c r="B664" s="476"/>
      <c r="C664" s="476"/>
      <c r="D664" s="476"/>
      <c r="E664" s="476"/>
      <c r="F664" s="476"/>
      <c r="G664" s="476"/>
      <c r="H664" s="22"/>
      <c r="I664" s="350"/>
      <c r="J664" s="302">
        <v>42</v>
      </c>
      <c r="K664" s="343" t="s">
        <v>573</v>
      </c>
      <c r="L664" s="112">
        <f t="shared" si="436"/>
        <v>156682</v>
      </c>
      <c r="M664" s="112">
        <f t="shared" si="436"/>
        <v>20795.275068020437</v>
      </c>
      <c r="N664" s="113">
        <f t="shared" si="436"/>
        <v>315000</v>
      </c>
      <c r="O664" s="113">
        <f t="shared" si="436"/>
        <v>41807.684650607203</v>
      </c>
      <c r="P664" s="114">
        <f t="shared" si="436"/>
        <v>46500</v>
      </c>
      <c r="Q664" s="114">
        <f t="shared" si="436"/>
        <v>5000</v>
      </c>
      <c r="R664" s="88">
        <f t="shared" si="436"/>
        <v>0</v>
      </c>
      <c r="S664" s="90" t="e">
        <f t="shared" ca="1" si="436"/>
        <v>#NAME?</v>
      </c>
      <c r="T664" s="90"/>
      <c r="U664" s="90"/>
      <c r="V664" s="200">
        <f>V665</f>
        <v>50000</v>
      </c>
      <c r="W664" s="200">
        <f t="shared" si="436"/>
        <v>50000</v>
      </c>
      <c r="X664" s="88">
        <f t="shared" si="436"/>
        <v>14000</v>
      </c>
      <c r="Y664" s="171">
        <f t="shared" si="436"/>
        <v>50000</v>
      </c>
      <c r="Z664" s="171">
        <f t="shared" si="436"/>
        <v>0</v>
      </c>
      <c r="AA664" s="370" t="e">
        <f t="shared" ca="1" si="410"/>
        <v>#NAME?</v>
      </c>
      <c r="AB664" s="171"/>
      <c r="AC664" s="172">
        <f t="shared" si="437"/>
        <v>47000</v>
      </c>
      <c r="AD664" s="172">
        <f t="shared" si="437"/>
        <v>47000</v>
      </c>
      <c r="AE664" s="178">
        <f>O664/M664*100</f>
        <v>201.04415312543878</v>
      </c>
      <c r="AF664" s="178">
        <f t="shared" si="438"/>
        <v>111.22357142857145</v>
      </c>
      <c r="AG664" s="178">
        <f t="shared" si="438"/>
        <v>10.75268817204301</v>
      </c>
      <c r="AH664" s="178">
        <f>AC664/Q664*100</f>
        <v>940</v>
      </c>
      <c r="AI664" s="171"/>
      <c r="AJ664" s="171">
        <v>50000</v>
      </c>
      <c r="AK664" s="171"/>
      <c r="AL664" s="171">
        <f t="shared" si="439"/>
        <v>28.000000000000004</v>
      </c>
      <c r="AM664" s="171">
        <f t="shared" si="439"/>
        <v>357.14285714285717</v>
      </c>
      <c r="AN664" s="90"/>
      <c r="AO664" s="193"/>
      <c r="AP664" s="193" t="e">
        <f t="shared" ca="1" si="408"/>
        <v>#NAME?</v>
      </c>
      <c r="AQ664" s="200">
        <f>AQ665</f>
        <v>12477.1</v>
      </c>
      <c r="AR664" s="204"/>
      <c r="AS664" s="204">
        <f>W664/V664*100</f>
        <v>100</v>
      </c>
      <c r="AT664" s="204"/>
      <c r="AU664" s="204">
        <f>AQ664/W664*100</f>
        <v>24.9542</v>
      </c>
      <c r="AV664" s="204"/>
    </row>
    <row r="665" spans="1:48" ht="12" customHeight="1">
      <c r="A665" s="62"/>
      <c r="B665" s="473"/>
      <c r="C665" s="473"/>
      <c r="D665" s="473"/>
      <c r="E665" s="473"/>
      <c r="F665" s="473"/>
      <c r="G665" s="473"/>
      <c r="H665" s="474"/>
      <c r="I665" s="464"/>
      <c r="J665" s="303">
        <v>426</v>
      </c>
      <c r="K665" s="19" t="s">
        <v>574</v>
      </c>
      <c r="L665" s="112">
        <f t="shared" si="436"/>
        <v>156682</v>
      </c>
      <c r="M665" s="112">
        <f t="shared" si="436"/>
        <v>20795.275068020437</v>
      </c>
      <c r="N665" s="113">
        <f t="shared" si="436"/>
        <v>315000</v>
      </c>
      <c r="O665" s="113">
        <f t="shared" si="436"/>
        <v>41807.684650607203</v>
      </c>
      <c r="P665" s="114">
        <f t="shared" si="436"/>
        <v>46500</v>
      </c>
      <c r="Q665" s="114">
        <f t="shared" si="436"/>
        <v>5000</v>
      </c>
      <c r="R665" s="88">
        <f t="shared" si="436"/>
        <v>0</v>
      </c>
      <c r="S665" s="90" t="e">
        <f t="shared" ca="1" si="436"/>
        <v>#NAME?</v>
      </c>
      <c r="T665" s="90"/>
      <c r="U665" s="90"/>
      <c r="V665" s="200">
        <f>V666</f>
        <v>50000</v>
      </c>
      <c r="W665" s="200">
        <f t="shared" si="436"/>
        <v>50000</v>
      </c>
      <c r="X665" s="88">
        <f t="shared" si="436"/>
        <v>14000</v>
      </c>
      <c r="Y665" s="171">
        <f t="shared" si="436"/>
        <v>50000</v>
      </c>
      <c r="Z665" s="171">
        <f t="shared" si="436"/>
        <v>0</v>
      </c>
      <c r="AA665" s="370" t="e">
        <f t="shared" ca="1" si="410"/>
        <v>#NAME?</v>
      </c>
      <c r="AB665" s="171"/>
      <c r="AC665" s="172">
        <f t="shared" si="437"/>
        <v>47000</v>
      </c>
      <c r="AD665" s="172">
        <f t="shared" si="437"/>
        <v>47000</v>
      </c>
      <c r="AE665" s="178">
        <f>O665/M665*100</f>
        <v>201.04415312543878</v>
      </c>
      <c r="AF665" s="178">
        <f t="shared" si="438"/>
        <v>111.22357142857145</v>
      </c>
      <c r="AG665" s="178">
        <f t="shared" si="438"/>
        <v>10.75268817204301</v>
      </c>
      <c r="AH665" s="178">
        <f>AC665/Q665*100</f>
        <v>940</v>
      </c>
      <c r="AI665" s="171"/>
      <c r="AJ665" s="171">
        <v>50000</v>
      </c>
      <c r="AK665" s="171"/>
      <c r="AL665" s="171">
        <f t="shared" si="439"/>
        <v>28.000000000000004</v>
      </c>
      <c r="AM665" s="171">
        <f t="shared" si="439"/>
        <v>357.14285714285717</v>
      </c>
      <c r="AN665" s="90"/>
      <c r="AO665" s="193"/>
      <c r="AP665" s="193" t="e">
        <f t="shared" ca="1" si="408"/>
        <v>#NAME?</v>
      </c>
      <c r="AQ665" s="200">
        <f>AQ666</f>
        <v>12477.1</v>
      </c>
      <c r="AR665" s="204"/>
      <c r="AS665" s="204">
        <f>W665/V665*100</f>
        <v>100</v>
      </c>
      <c r="AT665" s="204"/>
      <c r="AU665" s="204">
        <f>AQ665/W665*100</f>
        <v>24.9542</v>
      </c>
      <c r="AV665" s="204"/>
    </row>
    <row r="666" spans="1:48" ht="12" customHeight="1">
      <c r="A666" s="53"/>
      <c r="B666" s="53"/>
      <c r="C666" s="53"/>
      <c r="D666" s="53"/>
      <c r="E666" s="53"/>
      <c r="F666" s="53"/>
      <c r="G666" s="53"/>
      <c r="H666" s="1">
        <v>116</v>
      </c>
      <c r="I666" s="397">
        <v>620</v>
      </c>
      <c r="J666" s="229">
        <v>4263</v>
      </c>
      <c r="K666" s="18" t="s">
        <v>575</v>
      </c>
      <c r="L666" s="130">
        <v>156682</v>
      </c>
      <c r="M666" s="130">
        <f>156682/7.5345</f>
        <v>20795.275068020437</v>
      </c>
      <c r="N666" s="131">
        <v>315000</v>
      </c>
      <c r="O666" s="131">
        <f>N666/7.5345</f>
        <v>41807.684650607203</v>
      </c>
      <c r="P666" s="132">
        <v>46500</v>
      </c>
      <c r="Q666" s="163">
        <v>5000</v>
      </c>
      <c r="R666" s="159">
        <v>0</v>
      </c>
      <c r="S666" s="165" t="e">
        <f ca="1">__xlfn.XLOOKUP(H666,[1]Izvršenje_proračuna_po_pozicija!$B$2:$B$153,[1]Izvršenje_proračuna_po_pozicija!$E$2:$E$153,0)</f>
        <v>#NAME?</v>
      </c>
      <c r="T666" s="165"/>
      <c r="U666" s="165"/>
      <c r="V666" s="200">
        <v>50000</v>
      </c>
      <c r="W666" s="200">
        <v>50000</v>
      </c>
      <c r="X666" s="164">
        <v>14000</v>
      </c>
      <c r="Y666" s="378">
        <v>50000</v>
      </c>
      <c r="Z666" s="378"/>
      <c r="AA666" s="370" t="e">
        <f t="shared" ca="1" si="410"/>
        <v>#NAME?</v>
      </c>
      <c r="AB666" s="183"/>
      <c r="AC666" s="178">
        <v>47000</v>
      </c>
      <c r="AD666" s="178">
        <v>47000</v>
      </c>
      <c r="AE666" s="178">
        <f>O666/M666*100</f>
        <v>201.04415312543878</v>
      </c>
      <c r="AF666" s="178">
        <f t="shared" si="438"/>
        <v>111.22357142857145</v>
      </c>
      <c r="AG666" s="178">
        <f t="shared" si="438"/>
        <v>10.75268817204301</v>
      </c>
      <c r="AH666" s="178">
        <f>AC666/Q666*100</f>
        <v>940</v>
      </c>
      <c r="AI666" s="183"/>
      <c r="AJ666" s="378">
        <v>50000</v>
      </c>
      <c r="AK666" s="171"/>
      <c r="AL666" s="171">
        <f t="shared" si="439"/>
        <v>28.000000000000004</v>
      </c>
      <c r="AM666" s="171">
        <f t="shared" si="439"/>
        <v>357.14285714285717</v>
      </c>
      <c r="AN666" s="165"/>
      <c r="AO666" s="193"/>
      <c r="AP666" s="193" t="e">
        <f t="shared" ca="1" si="408"/>
        <v>#NAME?</v>
      </c>
      <c r="AQ666" s="200">
        <v>12477.1</v>
      </c>
      <c r="AR666" s="204"/>
      <c r="AS666" s="204">
        <f>W666/V666*100</f>
        <v>100</v>
      </c>
      <c r="AT666" s="204"/>
      <c r="AU666" s="204">
        <f>AQ666/W666*100</f>
        <v>24.9542</v>
      </c>
      <c r="AV666" s="204"/>
    </row>
    <row r="667" spans="1:48" ht="12" customHeight="1">
      <c r="A667" s="53"/>
      <c r="B667" s="53"/>
      <c r="C667" s="53"/>
      <c r="D667" s="53"/>
      <c r="E667" s="53"/>
      <c r="F667" s="53"/>
      <c r="G667" s="53"/>
      <c r="H667" s="16"/>
      <c r="I667" s="481"/>
      <c r="J667" s="407"/>
      <c r="K667" s="412"/>
      <c r="L667" s="413"/>
      <c r="M667" s="413"/>
      <c r="N667" s="414"/>
      <c r="O667" s="414"/>
      <c r="P667" s="415"/>
      <c r="Q667" s="415"/>
      <c r="R667" s="421"/>
      <c r="S667" s="165" t="e">
        <f ca="1">__xlfn.XLOOKUP(H667,[1]Izvršenje_proračuna_po_pozicija!$B$2:$B$153,[1]Izvršenje_proračuna_po_pozicija!$E$2:$E$153,0)</f>
        <v>#NAME?</v>
      </c>
      <c r="T667" s="419"/>
      <c r="U667" s="419"/>
      <c r="V667" s="200"/>
      <c r="W667" s="200"/>
      <c r="X667" s="422"/>
      <c r="Y667" s="429"/>
      <c r="Z667" s="429"/>
      <c r="AA667" s="370" t="e">
        <f t="shared" ca="1" si="410"/>
        <v>#NAME?</v>
      </c>
      <c r="AB667" s="430"/>
      <c r="AC667" s="431"/>
      <c r="AD667" s="431"/>
      <c r="AE667" s="178"/>
      <c r="AF667" s="178"/>
      <c r="AG667" s="178"/>
      <c r="AH667" s="178"/>
      <c r="AI667" s="430"/>
      <c r="AJ667" s="429"/>
      <c r="AK667" s="171"/>
      <c r="AL667" s="171"/>
      <c r="AM667" s="171"/>
      <c r="AN667" s="419"/>
      <c r="AO667" s="193"/>
      <c r="AP667" s="193" t="e">
        <f t="shared" ca="1" si="408"/>
        <v>#NAME?</v>
      </c>
      <c r="AQ667" s="200"/>
      <c r="AR667" s="204"/>
      <c r="AS667" s="204"/>
      <c r="AT667" s="204"/>
      <c r="AU667" s="204"/>
      <c r="AV667" s="204"/>
    </row>
    <row r="668" spans="1:48" ht="12" customHeight="1">
      <c r="A668" s="390" t="s">
        <v>532</v>
      </c>
      <c r="B668" s="391"/>
      <c r="C668" s="391"/>
      <c r="D668" s="391"/>
      <c r="E668" s="391"/>
      <c r="F668" s="391"/>
      <c r="G668" s="391"/>
      <c r="H668" s="435"/>
      <c r="I668" s="482" t="s">
        <v>576</v>
      </c>
      <c r="J668" s="483"/>
      <c r="K668" s="484"/>
      <c r="L668" s="335">
        <f t="shared" ref="L668:S668" si="440">L670</f>
        <v>0</v>
      </c>
      <c r="M668" s="335">
        <f t="shared" si="440"/>
        <v>0</v>
      </c>
      <c r="N668" s="336">
        <f t="shared" si="440"/>
        <v>0</v>
      </c>
      <c r="O668" s="336">
        <f t="shared" si="440"/>
        <v>0</v>
      </c>
      <c r="P668" s="337">
        <f t="shared" si="440"/>
        <v>50000</v>
      </c>
      <c r="Q668" s="337">
        <f t="shared" si="440"/>
        <v>0</v>
      </c>
      <c r="R668" s="359">
        <f t="shared" si="440"/>
        <v>0</v>
      </c>
      <c r="S668" s="360" t="e">
        <f t="shared" ca="1" si="440"/>
        <v>#NAME?</v>
      </c>
      <c r="T668" s="360"/>
      <c r="U668" s="360"/>
      <c r="V668" s="200">
        <f>V670</f>
        <v>0</v>
      </c>
      <c r="W668" s="200">
        <f>W670</f>
        <v>0</v>
      </c>
      <c r="X668" s="359">
        <f>X670</f>
        <v>0</v>
      </c>
      <c r="Y668" s="371">
        <f>Y670</f>
        <v>0</v>
      </c>
      <c r="Z668" s="371">
        <f>Z670</f>
        <v>0</v>
      </c>
      <c r="AA668" s="370" t="e">
        <f t="shared" ca="1" si="410"/>
        <v>#NAME?</v>
      </c>
      <c r="AB668" s="371"/>
      <c r="AC668" s="372">
        <f>AC670</f>
        <v>40000</v>
      </c>
      <c r="AD668" s="372">
        <f>AD670</f>
        <v>40000</v>
      </c>
      <c r="AE668" s="178"/>
      <c r="AF668" s="178"/>
      <c r="AG668" s="178"/>
      <c r="AH668" s="178"/>
      <c r="AI668" s="371"/>
      <c r="AJ668" s="371">
        <v>0</v>
      </c>
      <c r="AK668" s="171"/>
      <c r="AL668" s="171"/>
      <c r="AM668" s="171"/>
      <c r="AN668" s="360"/>
      <c r="AO668" s="193"/>
      <c r="AP668" s="193" t="e">
        <f t="shared" ca="1" si="408"/>
        <v>#NAME?</v>
      </c>
      <c r="AQ668" s="200">
        <f>AQ670</f>
        <v>0</v>
      </c>
      <c r="AR668" s="204"/>
      <c r="AS668" s="204"/>
      <c r="AT668" s="204"/>
      <c r="AU668" s="204"/>
      <c r="AV668" s="204"/>
    </row>
    <row r="669" spans="1:48" ht="12" customHeight="1">
      <c r="A669" s="42"/>
      <c r="B669" s="42"/>
      <c r="C669" s="42"/>
      <c r="D669" s="42"/>
      <c r="E669" s="42"/>
      <c r="F669" s="42"/>
      <c r="G669" s="42"/>
      <c r="H669" s="308"/>
      <c r="I669" s="14"/>
      <c r="J669" s="2"/>
      <c r="K669" s="281"/>
      <c r="L669" s="85"/>
      <c r="M669" s="85"/>
      <c r="N669" s="86"/>
      <c r="O669" s="86"/>
      <c r="P669" s="87"/>
      <c r="Q669" s="87"/>
      <c r="R669" s="160"/>
      <c r="S669" s="165" t="e">
        <f ca="1">__xlfn.XLOOKUP(H669,[1]Izvršenje_proračuna_po_pozicija!$B$2:$B$153,[1]Izvršenje_proračuna_po_pozicija!$E$2:$E$153,0)</f>
        <v>#NAME?</v>
      </c>
      <c r="T669" s="165"/>
      <c r="U669" s="165"/>
      <c r="V669" s="200"/>
      <c r="W669" s="200"/>
      <c r="X669" s="361"/>
      <c r="Y669" s="373"/>
      <c r="Z669" s="373"/>
      <c r="AA669" s="370" t="e">
        <f t="shared" ca="1" si="410"/>
        <v>#NAME?</v>
      </c>
      <c r="AB669" s="181"/>
      <c r="AC669" s="182"/>
      <c r="AD669" s="182"/>
      <c r="AE669" s="178"/>
      <c r="AF669" s="178"/>
      <c r="AG669" s="178"/>
      <c r="AH669" s="178"/>
      <c r="AI669" s="181"/>
      <c r="AJ669" s="373"/>
      <c r="AK669" s="171"/>
      <c r="AL669" s="171"/>
      <c r="AM669" s="171"/>
      <c r="AN669" s="161"/>
      <c r="AO669" s="193"/>
      <c r="AP669" s="193" t="e">
        <f t="shared" ca="1" si="408"/>
        <v>#NAME?</v>
      </c>
      <c r="AQ669" s="200"/>
      <c r="AR669" s="204"/>
      <c r="AS669" s="204"/>
      <c r="AT669" s="204"/>
      <c r="AU669" s="204"/>
      <c r="AV669" s="204"/>
    </row>
    <row r="670" spans="1:48" ht="12" customHeight="1">
      <c r="A670" s="24"/>
      <c r="B670" s="24"/>
      <c r="C670" s="24"/>
      <c r="D670" s="24"/>
      <c r="E670" s="24"/>
      <c r="F670" s="24"/>
      <c r="G670" s="24"/>
      <c r="H670" s="393"/>
      <c r="I670" s="465"/>
      <c r="J670" s="281">
        <v>3</v>
      </c>
      <c r="K670" s="2" t="s">
        <v>224</v>
      </c>
      <c r="L670" s="112">
        <f t="shared" ref="L670:AD672" si="441">L671</f>
        <v>0</v>
      </c>
      <c r="M670" s="112">
        <f t="shared" si="441"/>
        <v>0</v>
      </c>
      <c r="N670" s="113">
        <f t="shared" si="441"/>
        <v>0</v>
      </c>
      <c r="O670" s="113">
        <f t="shared" si="441"/>
        <v>0</v>
      </c>
      <c r="P670" s="114">
        <f t="shared" si="441"/>
        <v>50000</v>
      </c>
      <c r="Q670" s="114">
        <f t="shared" si="441"/>
        <v>0</v>
      </c>
      <c r="R670" s="88">
        <f t="shared" si="441"/>
        <v>0</v>
      </c>
      <c r="S670" s="90" t="e">
        <f t="shared" ca="1" si="441"/>
        <v>#NAME?</v>
      </c>
      <c r="T670" s="90"/>
      <c r="U670" s="90"/>
      <c r="V670" s="200">
        <f>V671</f>
        <v>0</v>
      </c>
      <c r="W670" s="200">
        <f t="shared" si="441"/>
        <v>0</v>
      </c>
      <c r="X670" s="88">
        <f t="shared" si="441"/>
        <v>0</v>
      </c>
      <c r="Y670" s="171">
        <f t="shared" si="441"/>
        <v>0</v>
      </c>
      <c r="Z670" s="171">
        <f t="shared" si="441"/>
        <v>0</v>
      </c>
      <c r="AA670" s="370" t="e">
        <f t="shared" ca="1" si="410"/>
        <v>#NAME?</v>
      </c>
      <c r="AB670" s="171"/>
      <c r="AC670" s="172">
        <f t="shared" si="441"/>
        <v>40000</v>
      </c>
      <c r="AD670" s="172">
        <f t="shared" si="441"/>
        <v>40000</v>
      </c>
      <c r="AE670" s="178"/>
      <c r="AF670" s="178"/>
      <c r="AG670" s="178"/>
      <c r="AH670" s="178"/>
      <c r="AI670" s="171"/>
      <c r="AJ670" s="171">
        <v>0</v>
      </c>
      <c r="AK670" s="171"/>
      <c r="AL670" s="171"/>
      <c r="AM670" s="171"/>
      <c r="AN670" s="90"/>
      <c r="AO670" s="193"/>
      <c r="AP670" s="193" t="e">
        <f t="shared" ca="1" si="408"/>
        <v>#NAME?</v>
      </c>
      <c r="AQ670" s="200">
        <f>AQ671</f>
        <v>0</v>
      </c>
      <c r="AR670" s="204"/>
      <c r="AS670" s="204"/>
      <c r="AT670" s="204"/>
      <c r="AU670" s="204"/>
      <c r="AV670" s="204"/>
    </row>
    <row r="671" spans="1:48" ht="12" customHeight="1">
      <c r="A671" s="301"/>
      <c r="B671" s="301"/>
      <c r="C671" s="301"/>
      <c r="D671" s="301"/>
      <c r="E671" s="301"/>
      <c r="F671" s="301"/>
      <c r="G671" s="301"/>
      <c r="H671" s="307"/>
      <c r="I671" s="350"/>
      <c r="J671" s="302">
        <v>38</v>
      </c>
      <c r="K671" s="343" t="s">
        <v>285</v>
      </c>
      <c r="L671" s="112">
        <f t="shared" si="441"/>
        <v>0</v>
      </c>
      <c r="M671" s="112">
        <f t="shared" si="441"/>
        <v>0</v>
      </c>
      <c r="N671" s="113">
        <f t="shared" si="441"/>
        <v>0</v>
      </c>
      <c r="O671" s="113">
        <f t="shared" si="441"/>
        <v>0</v>
      </c>
      <c r="P671" s="114">
        <f t="shared" si="441"/>
        <v>50000</v>
      </c>
      <c r="Q671" s="114">
        <f t="shared" si="441"/>
        <v>0</v>
      </c>
      <c r="R671" s="88">
        <f t="shared" si="441"/>
        <v>0</v>
      </c>
      <c r="S671" s="90" t="e">
        <f t="shared" ca="1" si="441"/>
        <v>#NAME?</v>
      </c>
      <c r="T671" s="90"/>
      <c r="U671" s="90"/>
      <c r="V671" s="200">
        <f>V672</f>
        <v>0</v>
      </c>
      <c r="W671" s="200">
        <f t="shared" si="441"/>
        <v>0</v>
      </c>
      <c r="X671" s="88">
        <f t="shared" si="441"/>
        <v>0</v>
      </c>
      <c r="Y671" s="171">
        <f t="shared" si="441"/>
        <v>0</v>
      </c>
      <c r="Z671" s="171">
        <f t="shared" si="441"/>
        <v>0</v>
      </c>
      <c r="AA671" s="370" t="e">
        <f t="shared" ca="1" si="410"/>
        <v>#NAME?</v>
      </c>
      <c r="AB671" s="171"/>
      <c r="AC671" s="172">
        <f t="shared" si="441"/>
        <v>40000</v>
      </c>
      <c r="AD671" s="172">
        <f t="shared" si="441"/>
        <v>40000</v>
      </c>
      <c r="AE671" s="178"/>
      <c r="AF671" s="178"/>
      <c r="AG671" s="178"/>
      <c r="AH671" s="178"/>
      <c r="AI671" s="171"/>
      <c r="AJ671" s="171">
        <v>0</v>
      </c>
      <c r="AK671" s="171"/>
      <c r="AL671" s="171"/>
      <c r="AM671" s="171"/>
      <c r="AN671" s="90"/>
      <c r="AO671" s="193"/>
      <c r="AP671" s="193" t="e">
        <f t="shared" ref="AP671:AP734" ca="1" si="442">__xlfn.ISFORMULA(X671)</f>
        <v>#NAME?</v>
      </c>
      <c r="AQ671" s="200">
        <f>AQ672</f>
        <v>0</v>
      </c>
      <c r="AR671" s="204"/>
      <c r="AS671" s="204"/>
      <c r="AT671" s="204"/>
      <c r="AU671" s="204"/>
      <c r="AV671" s="204"/>
    </row>
    <row r="672" spans="1:48" ht="12" customHeight="1">
      <c r="A672" s="62"/>
      <c r="B672" s="62"/>
      <c r="C672" s="62"/>
      <c r="D672" s="62"/>
      <c r="E672" s="62"/>
      <c r="F672" s="62"/>
      <c r="G672" s="62"/>
      <c r="H672" s="304"/>
      <c r="I672" s="464"/>
      <c r="J672" s="303">
        <v>386</v>
      </c>
      <c r="K672" s="19" t="s">
        <v>505</v>
      </c>
      <c r="L672" s="112">
        <f t="shared" si="441"/>
        <v>0</v>
      </c>
      <c r="M672" s="112">
        <f t="shared" si="441"/>
        <v>0</v>
      </c>
      <c r="N672" s="113">
        <f t="shared" si="441"/>
        <v>0</v>
      </c>
      <c r="O672" s="113">
        <f t="shared" si="441"/>
        <v>0</v>
      </c>
      <c r="P672" s="114">
        <f t="shared" si="441"/>
        <v>50000</v>
      </c>
      <c r="Q672" s="114">
        <f t="shared" si="441"/>
        <v>0</v>
      </c>
      <c r="R672" s="88">
        <f t="shared" si="441"/>
        <v>0</v>
      </c>
      <c r="S672" s="90" t="e">
        <f t="shared" ca="1" si="441"/>
        <v>#NAME?</v>
      </c>
      <c r="T672" s="90"/>
      <c r="U672" s="90"/>
      <c r="V672" s="200">
        <f>V673</f>
        <v>0</v>
      </c>
      <c r="W672" s="200">
        <f t="shared" si="441"/>
        <v>0</v>
      </c>
      <c r="X672" s="88">
        <f t="shared" si="441"/>
        <v>0</v>
      </c>
      <c r="Y672" s="171">
        <f t="shared" si="441"/>
        <v>0</v>
      </c>
      <c r="Z672" s="171">
        <f t="shared" si="441"/>
        <v>0</v>
      </c>
      <c r="AA672" s="370" t="e">
        <f t="shared" ca="1" si="410"/>
        <v>#NAME?</v>
      </c>
      <c r="AB672" s="171"/>
      <c r="AC672" s="172">
        <f>AC673</f>
        <v>40000</v>
      </c>
      <c r="AD672" s="172">
        <f>AD673</f>
        <v>40000</v>
      </c>
      <c r="AE672" s="178"/>
      <c r="AF672" s="178"/>
      <c r="AG672" s="178"/>
      <c r="AH672" s="178"/>
      <c r="AI672" s="171"/>
      <c r="AJ672" s="171">
        <v>0</v>
      </c>
      <c r="AK672" s="171"/>
      <c r="AL672" s="171"/>
      <c r="AM672" s="171"/>
      <c r="AN672" s="90"/>
      <c r="AO672" s="193"/>
      <c r="AP672" s="193" t="e">
        <f t="shared" ca="1" si="442"/>
        <v>#NAME?</v>
      </c>
      <c r="AQ672" s="200">
        <f>AQ673</f>
        <v>0</v>
      </c>
      <c r="AR672" s="204"/>
      <c r="AS672" s="204"/>
      <c r="AT672" s="204"/>
      <c r="AU672" s="204"/>
      <c r="AV672" s="204"/>
    </row>
    <row r="673" spans="1:48" ht="12" customHeight="1">
      <c r="A673" s="53"/>
      <c r="B673" s="53"/>
      <c r="C673" s="53"/>
      <c r="D673" s="53"/>
      <c r="E673" s="53"/>
      <c r="F673" s="53"/>
      <c r="G673" s="53"/>
      <c r="H673" s="1">
        <v>170</v>
      </c>
      <c r="I673" s="397">
        <v>630</v>
      </c>
      <c r="J673" s="229">
        <v>3861</v>
      </c>
      <c r="K673" s="607" t="s">
        <v>577</v>
      </c>
      <c r="L673" s="130">
        <v>0</v>
      </c>
      <c r="M673" s="130">
        <v>0</v>
      </c>
      <c r="N673" s="131">
        <v>0</v>
      </c>
      <c r="O673" s="131">
        <v>0</v>
      </c>
      <c r="P673" s="132">
        <v>50000</v>
      </c>
      <c r="Q673" s="163">
        <v>0</v>
      </c>
      <c r="R673" s="159">
        <v>0</v>
      </c>
      <c r="S673" s="165" t="e">
        <f ca="1">__xlfn.XLOOKUP(H673,[1]Izvršenje_proračuna_po_pozicija!$B$2:$B$153,[1]Izvršenje_proračuna_po_pozicija!$E$2:$E$153,0)</f>
        <v>#NAME?</v>
      </c>
      <c r="T673" s="165"/>
      <c r="U673" s="165"/>
      <c r="V673" s="200"/>
      <c r="W673" s="200"/>
      <c r="X673" s="164"/>
      <c r="Y673" s="378"/>
      <c r="Z673" s="378"/>
      <c r="AA673" s="370" t="e">
        <f t="shared" ref="AA673:AA736" ca="1" si="443">__xlfn.ISFORMULA(R673)</f>
        <v>#NAME?</v>
      </c>
      <c r="AB673" s="183"/>
      <c r="AC673" s="178">
        <v>40000</v>
      </c>
      <c r="AD673" s="178">
        <v>40000</v>
      </c>
      <c r="AE673" s="178"/>
      <c r="AF673" s="178"/>
      <c r="AG673" s="178"/>
      <c r="AH673" s="178"/>
      <c r="AI673" s="183"/>
      <c r="AJ673" s="378"/>
      <c r="AK673" s="171"/>
      <c r="AL673" s="171"/>
      <c r="AM673" s="171"/>
      <c r="AN673" s="165"/>
      <c r="AO673" s="193"/>
      <c r="AP673" s="193" t="e">
        <f t="shared" ca="1" si="442"/>
        <v>#NAME?</v>
      </c>
      <c r="AQ673" s="200"/>
      <c r="AR673" s="204"/>
      <c r="AS673" s="204"/>
      <c r="AT673" s="204"/>
      <c r="AU673" s="204"/>
      <c r="AV673" s="204"/>
    </row>
    <row r="674" spans="1:48" ht="12" customHeight="1">
      <c r="A674" s="42"/>
      <c r="B674" s="42"/>
      <c r="C674" s="42"/>
      <c r="D674" s="42"/>
      <c r="E674" s="42"/>
      <c r="F674" s="42"/>
      <c r="G674" s="42"/>
      <c r="H674" s="308"/>
      <c r="I674" s="14"/>
      <c r="J674" s="2"/>
      <c r="K674" s="84"/>
      <c r="L674" s="85"/>
      <c r="M674" s="85"/>
      <c r="N674" s="86"/>
      <c r="O674" s="86"/>
      <c r="P674" s="87"/>
      <c r="Q674" s="87"/>
      <c r="R674" s="160"/>
      <c r="S674" s="165" t="e">
        <f ca="1">__xlfn.XLOOKUP(H674,[1]Izvršenje_proračuna_po_pozicija!$B$2:$B$153,[1]Izvršenje_proračuna_po_pozicija!$E$2:$E$153,0)</f>
        <v>#NAME?</v>
      </c>
      <c r="T674" s="165"/>
      <c r="U674" s="165"/>
      <c r="V674" s="200"/>
      <c r="W674" s="200"/>
      <c r="X674" s="361"/>
      <c r="Y674" s="373"/>
      <c r="Z674" s="373"/>
      <c r="AA674" s="370" t="e">
        <f t="shared" ca="1" si="443"/>
        <v>#NAME?</v>
      </c>
      <c r="AB674" s="181"/>
      <c r="AC674" s="182"/>
      <c r="AD674" s="182"/>
      <c r="AE674" s="178"/>
      <c r="AF674" s="178"/>
      <c r="AG674" s="178"/>
      <c r="AH674" s="178"/>
      <c r="AI674" s="181"/>
      <c r="AJ674" s="373"/>
      <c r="AK674" s="171"/>
      <c r="AL674" s="171"/>
      <c r="AM674" s="171"/>
      <c r="AN674" s="161"/>
      <c r="AO674" s="193"/>
      <c r="AP674" s="193" t="e">
        <f t="shared" ca="1" si="442"/>
        <v>#NAME?</v>
      </c>
      <c r="AQ674" s="200"/>
      <c r="AR674" s="204"/>
      <c r="AS674" s="204"/>
      <c r="AT674" s="204"/>
      <c r="AU674" s="204"/>
      <c r="AV674" s="204"/>
    </row>
    <row r="675" spans="1:48" ht="12" customHeight="1">
      <c r="A675" s="390" t="s">
        <v>578</v>
      </c>
      <c r="B675" s="391"/>
      <c r="C675" s="391"/>
      <c r="D675" s="391"/>
      <c r="E675" s="391"/>
      <c r="F675" s="391"/>
      <c r="G675" s="391"/>
      <c r="H675" s="392"/>
      <c r="I675" s="485" t="s">
        <v>579</v>
      </c>
      <c r="J675" s="486"/>
      <c r="K675" s="300"/>
      <c r="L675" s="112">
        <f t="shared" ref="L675:S675" si="444">L677</f>
        <v>763177</v>
      </c>
      <c r="M675" s="112">
        <f t="shared" si="444"/>
        <v>101290.99475744905</v>
      </c>
      <c r="N675" s="113">
        <f t="shared" si="444"/>
        <v>1155015</v>
      </c>
      <c r="O675" s="113">
        <f t="shared" si="444"/>
        <v>153296.83456101932</v>
      </c>
      <c r="P675" s="114">
        <f t="shared" si="444"/>
        <v>123000</v>
      </c>
      <c r="Q675" s="114">
        <f t="shared" si="444"/>
        <v>133000</v>
      </c>
      <c r="R675" s="88">
        <f t="shared" si="444"/>
        <v>123652</v>
      </c>
      <c r="S675" s="90" t="e">
        <f t="shared" ca="1" si="444"/>
        <v>#NAME?</v>
      </c>
      <c r="T675" s="90"/>
      <c r="U675" s="90"/>
      <c r="V675" s="200">
        <f>V677</f>
        <v>235000</v>
      </c>
      <c r="W675" s="200">
        <f>W677</f>
        <v>235000</v>
      </c>
      <c r="X675" s="88">
        <f>X677</f>
        <v>250000</v>
      </c>
      <c r="Y675" s="171">
        <f>Y677</f>
        <v>230000</v>
      </c>
      <c r="Z675" s="171">
        <f>Z677</f>
        <v>0</v>
      </c>
      <c r="AA675" s="370" t="e">
        <f t="shared" ca="1" si="443"/>
        <v>#NAME?</v>
      </c>
      <c r="AB675" s="171"/>
      <c r="AC675" s="172">
        <f>AC677</f>
        <v>129000</v>
      </c>
      <c r="AD675" s="172">
        <f>AD677</f>
        <v>129000</v>
      </c>
      <c r="AE675" s="178">
        <f>O675/M675*100</f>
        <v>151.3430043096163</v>
      </c>
      <c r="AF675" s="178">
        <f>P675/O675*100</f>
        <v>80.23649043518914</v>
      </c>
      <c r="AG675" s="178">
        <f>Q675/P675*100</f>
        <v>108.130081300813</v>
      </c>
      <c r="AH675" s="178">
        <f>AC675/Q675*100</f>
        <v>96.992481203007515</v>
      </c>
      <c r="AI675" s="171"/>
      <c r="AJ675" s="171">
        <v>230000</v>
      </c>
      <c r="AK675" s="171">
        <f t="shared" ref="AK675:AK725" si="445">W675/R675*100</f>
        <v>190.04949374049752</v>
      </c>
      <c r="AL675" s="171">
        <f>X675/W675*100</f>
        <v>106.38297872340425</v>
      </c>
      <c r="AM675" s="171">
        <f>Y675/X675*100</f>
        <v>92</v>
      </c>
      <c r="AN675" s="90"/>
      <c r="AO675" s="193"/>
      <c r="AP675" s="193" t="e">
        <f t="shared" ca="1" si="442"/>
        <v>#NAME?</v>
      </c>
      <c r="AQ675" s="200">
        <f>AQ677</f>
        <v>215163.59999999998</v>
      </c>
      <c r="AR675" s="204">
        <f>V675/R675*100</f>
        <v>190.04949374049752</v>
      </c>
      <c r="AS675" s="204">
        <f>W675/V675*100</f>
        <v>100</v>
      </c>
      <c r="AT675" s="204">
        <f>W675/R675*100</f>
        <v>190.04949374049752</v>
      </c>
      <c r="AU675" s="204">
        <f>AQ675/W675*100</f>
        <v>91.558978723404252</v>
      </c>
      <c r="AV675" s="204">
        <f>AQ675/R675*100</f>
        <v>174.00737553779962</v>
      </c>
    </row>
    <row r="676" spans="1:48" ht="12" customHeight="1">
      <c r="A676" s="69"/>
      <c r="B676" s="69"/>
      <c r="C676" s="69"/>
      <c r="D676" s="69"/>
      <c r="E676" s="69"/>
      <c r="F676" s="69"/>
      <c r="G676" s="69"/>
      <c r="H676" s="389"/>
      <c r="I676" s="341"/>
      <c r="J676" s="281"/>
      <c r="K676" s="70"/>
      <c r="L676" s="217"/>
      <c r="M676" s="217"/>
      <c r="N676" s="218"/>
      <c r="O676" s="218"/>
      <c r="P676" s="219"/>
      <c r="Q676" s="219"/>
      <c r="R676" s="282"/>
      <c r="S676" s="165" t="e">
        <f ca="1">__xlfn.XLOOKUP(H676,[1]Izvršenje_proračuna_po_pozicija!$B$2:$B$153,[1]Izvršenje_proračuna_po_pozicija!$E$2:$E$153,0)</f>
        <v>#NAME?</v>
      </c>
      <c r="T676" s="165"/>
      <c r="U676" s="165"/>
      <c r="V676" s="200"/>
      <c r="W676" s="200"/>
      <c r="X676" s="167"/>
      <c r="Y676" s="424"/>
      <c r="Z676" s="424"/>
      <c r="AA676" s="370" t="e">
        <f t="shared" ca="1" si="443"/>
        <v>#NAME?</v>
      </c>
      <c r="AB676" s="223"/>
      <c r="AC676" s="224"/>
      <c r="AD676" s="224"/>
      <c r="AE676" s="178"/>
      <c r="AF676" s="178"/>
      <c r="AG676" s="178"/>
      <c r="AH676" s="178"/>
      <c r="AI676" s="223"/>
      <c r="AJ676" s="424"/>
      <c r="AK676" s="171"/>
      <c r="AL676" s="171"/>
      <c r="AM676" s="171"/>
      <c r="AN676" s="222"/>
      <c r="AO676" s="460"/>
      <c r="AP676" s="193" t="e">
        <f t="shared" ca="1" si="442"/>
        <v>#NAME?</v>
      </c>
      <c r="AQ676" s="200"/>
      <c r="AR676" s="204"/>
      <c r="AS676" s="204"/>
      <c r="AT676" s="204"/>
      <c r="AU676" s="204"/>
      <c r="AV676" s="204"/>
    </row>
    <row r="677" spans="1:48" ht="12" customHeight="1">
      <c r="A677" s="24"/>
      <c r="B677" s="24"/>
      <c r="C677" s="24"/>
      <c r="D677" s="24"/>
      <c r="E677" s="24"/>
      <c r="F677" s="24"/>
      <c r="G677" s="24"/>
      <c r="H677" s="393"/>
      <c r="I677" s="465"/>
      <c r="J677" s="281">
        <v>3</v>
      </c>
      <c r="K677" s="2" t="s">
        <v>224</v>
      </c>
      <c r="L677" s="112">
        <f t="shared" ref="L677:Z677" si="446">L678</f>
        <v>763177</v>
      </c>
      <c r="M677" s="112">
        <f t="shared" si="446"/>
        <v>101290.99475744905</v>
      </c>
      <c r="N677" s="113">
        <f t="shared" si="446"/>
        <v>1155015</v>
      </c>
      <c r="O677" s="113">
        <f t="shared" si="446"/>
        <v>153296.83456101932</v>
      </c>
      <c r="P677" s="114">
        <f t="shared" si="446"/>
        <v>123000</v>
      </c>
      <c r="Q677" s="114">
        <f t="shared" si="446"/>
        <v>133000</v>
      </c>
      <c r="R677" s="88">
        <f t="shared" si="446"/>
        <v>123652</v>
      </c>
      <c r="S677" s="90" t="e">
        <f t="shared" ca="1" si="446"/>
        <v>#NAME?</v>
      </c>
      <c r="T677" s="90"/>
      <c r="U677" s="90"/>
      <c r="V677" s="200">
        <f t="shared" ref="V677:V682" si="447">V678</f>
        <v>235000</v>
      </c>
      <c r="W677" s="200">
        <f t="shared" si="446"/>
        <v>235000</v>
      </c>
      <c r="X677" s="88">
        <f t="shared" si="446"/>
        <v>250000</v>
      </c>
      <c r="Y677" s="171">
        <f t="shared" si="446"/>
        <v>230000</v>
      </c>
      <c r="Z677" s="171">
        <f t="shared" si="446"/>
        <v>0</v>
      </c>
      <c r="AA677" s="370" t="e">
        <f t="shared" ca="1" si="443"/>
        <v>#NAME?</v>
      </c>
      <c r="AB677" s="171"/>
      <c r="AC677" s="172">
        <f>AC678</f>
        <v>129000</v>
      </c>
      <c r="AD677" s="172">
        <f>AD678</f>
        <v>129000</v>
      </c>
      <c r="AE677" s="178">
        <f>O677/M677*100</f>
        <v>151.3430043096163</v>
      </c>
      <c r="AF677" s="178">
        <f t="shared" ref="AF677:AG680" si="448">P677/O677*100</f>
        <v>80.23649043518914</v>
      </c>
      <c r="AG677" s="178">
        <f t="shared" si="448"/>
        <v>108.130081300813</v>
      </c>
      <c r="AH677" s="178">
        <f>AC677/Q677*100</f>
        <v>96.992481203007515</v>
      </c>
      <c r="AI677" s="171"/>
      <c r="AJ677" s="171">
        <v>230000</v>
      </c>
      <c r="AK677" s="171">
        <f t="shared" si="445"/>
        <v>190.04949374049752</v>
      </c>
      <c r="AL677" s="171">
        <f t="shared" ref="AL677:AM680" si="449">X677/W677*100</f>
        <v>106.38297872340425</v>
      </c>
      <c r="AM677" s="171">
        <f t="shared" si="449"/>
        <v>92</v>
      </c>
      <c r="AN677" s="90"/>
      <c r="AO677" s="460"/>
      <c r="AP677" s="193" t="e">
        <f t="shared" ca="1" si="442"/>
        <v>#NAME?</v>
      </c>
      <c r="AQ677" s="200">
        <f>AQ678</f>
        <v>215163.59999999998</v>
      </c>
      <c r="AR677" s="204">
        <f>V677/R677*100</f>
        <v>190.04949374049752</v>
      </c>
      <c r="AS677" s="204">
        <f>W677/V677*100</f>
        <v>100</v>
      </c>
      <c r="AT677" s="204">
        <f>W677/R677*100</f>
        <v>190.04949374049752</v>
      </c>
      <c r="AU677" s="204">
        <f>AQ677/W677*100</f>
        <v>91.558978723404252</v>
      </c>
      <c r="AV677" s="204">
        <f>AQ677/R677*100</f>
        <v>174.00737553779962</v>
      </c>
    </row>
    <row r="678" spans="1:48" ht="12" customHeight="1">
      <c r="A678" s="301"/>
      <c r="B678" s="301"/>
      <c r="C678" s="301"/>
      <c r="D678" s="301"/>
      <c r="E678" s="301"/>
      <c r="F678" s="301"/>
      <c r="G678" s="301"/>
      <c r="H678" s="307"/>
      <c r="I678" s="350"/>
      <c r="J678" s="302">
        <v>32</v>
      </c>
      <c r="K678" s="343" t="s">
        <v>233</v>
      </c>
      <c r="L678" s="112">
        <f t="shared" ref="L678:S678" si="450">L679+L682</f>
        <v>763177</v>
      </c>
      <c r="M678" s="112">
        <f t="shared" si="450"/>
        <v>101290.99475744905</v>
      </c>
      <c r="N678" s="113">
        <f t="shared" si="450"/>
        <v>1155015</v>
      </c>
      <c r="O678" s="113">
        <f t="shared" si="450"/>
        <v>153296.83456101932</v>
      </c>
      <c r="P678" s="114">
        <f t="shared" si="450"/>
        <v>123000</v>
      </c>
      <c r="Q678" s="114">
        <f t="shared" si="450"/>
        <v>133000</v>
      </c>
      <c r="R678" s="88">
        <f t="shared" si="450"/>
        <v>123652</v>
      </c>
      <c r="S678" s="90" t="e">
        <f t="shared" ca="1" si="450"/>
        <v>#NAME?</v>
      </c>
      <c r="T678" s="90"/>
      <c r="U678" s="90"/>
      <c r="V678" s="200">
        <f>V679+V682</f>
        <v>235000</v>
      </c>
      <c r="W678" s="200">
        <f>W679+W682</f>
        <v>235000</v>
      </c>
      <c r="X678" s="88">
        <f>X679+X682</f>
        <v>250000</v>
      </c>
      <c r="Y678" s="171">
        <f>Y679+Y682</f>
        <v>230000</v>
      </c>
      <c r="Z678" s="171">
        <f>Z679+Z682</f>
        <v>0</v>
      </c>
      <c r="AA678" s="370" t="e">
        <f t="shared" ca="1" si="443"/>
        <v>#NAME?</v>
      </c>
      <c r="AB678" s="171"/>
      <c r="AC678" s="172">
        <f>AC679+AC682</f>
        <v>129000</v>
      </c>
      <c r="AD678" s="172">
        <f>AD679+AD682</f>
        <v>129000</v>
      </c>
      <c r="AE678" s="178">
        <f>O678/M678*100</f>
        <v>151.3430043096163</v>
      </c>
      <c r="AF678" s="178">
        <f t="shared" si="448"/>
        <v>80.23649043518914</v>
      </c>
      <c r="AG678" s="178">
        <f t="shared" si="448"/>
        <v>108.130081300813</v>
      </c>
      <c r="AH678" s="178">
        <f>AC678/Q678*100</f>
        <v>96.992481203007515</v>
      </c>
      <c r="AI678" s="171"/>
      <c r="AJ678" s="171">
        <v>230000</v>
      </c>
      <c r="AK678" s="171">
        <f t="shared" si="445"/>
        <v>190.04949374049752</v>
      </c>
      <c r="AL678" s="171">
        <f t="shared" si="449"/>
        <v>106.38297872340425</v>
      </c>
      <c r="AM678" s="171">
        <f t="shared" si="449"/>
        <v>92</v>
      </c>
      <c r="AN678" s="90"/>
      <c r="AO678" s="460"/>
      <c r="AP678" s="193" t="e">
        <f t="shared" ca="1" si="442"/>
        <v>#NAME?</v>
      </c>
      <c r="AQ678" s="200">
        <f>AQ679+AQ682</f>
        <v>215163.59999999998</v>
      </c>
      <c r="AR678" s="204">
        <f>V678/R678*100</f>
        <v>190.04949374049752</v>
      </c>
      <c r="AS678" s="204">
        <f>W678/V678*100</f>
        <v>100</v>
      </c>
      <c r="AT678" s="204">
        <f>W678/R678*100</f>
        <v>190.04949374049752</v>
      </c>
      <c r="AU678" s="204">
        <f>AQ678/W678*100</f>
        <v>91.558978723404252</v>
      </c>
      <c r="AV678" s="204">
        <f>AQ678/R678*100</f>
        <v>174.00737553779962</v>
      </c>
    </row>
    <row r="679" spans="1:48" ht="12" customHeight="1">
      <c r="A679" s="62"/>
      <c r="B679" s="62"/>
      <c r="C679" s="62"/>
      <c r="D679" s="62"/>
      <c r="E679" s="62"/>
      <c r="F679" s="62"/>
      <c r="G679" s="62"/>
      <c r="H679" s="304"/>
      <c r="I679" s="464"/>
      <c r="J679" s="303">
        <v>322</v>
      </c>
      <c r="K679" s="19" t="s">
        <v>580</v>
      </c>
      <c r="L679" s="112">
        <f t="shared" ref="L679:Z679" si="451">L680</f>
        <v>396699</v>
      </c>
      <c r="M679" s="112">
        <f t="shared" si="451"/>
        <v>52651.005375273737</v>
      </c>
      <c r="N679" s="113">
        <f t="shared" si="451"/>
        <v>774978</v>
      </c>
      <c r="O679" s="113">
        <f t="shared" si="451"/>
        <v>102857.25661955007</v>
      </c>
      <c r="P679" s="114">
        <f t="shared" si="451"/>
        <v>70000</v>
      </c>
      <c r="Q679" s="114">
        <f t="shared" si="451"/>
        <v>80000</v>
      </c>
      <c r="R679" s="88">
        <f t="shared" si="451"/>
        <v>70813</v>
      </c>
      <c r="S679" s="90" t="e">
        <f t="shared" ca="1" si="451"/>
        <v>#NAME?</v>
      </c>
      <c r="T679" s="90"/>
      <c r="U679" s="90"/>
      <c r="V679" s="200">
        <f t="shared" si="447"/>
        <v>85000</v>
      </c>
      <c r="W679" s="200">
        <f t="shared" si="451"/>
        <v>85000</v>
      </c>
      <c r="X679" s="88">
        <f t="shared" si="451"/>
        <v>100000</v>
      </c>
      <c r="Y679" s="171">
        <f t="shared" si="451"/>
        <v>110000</v>
      </c>
      <c r="Z679" s="171">
        <f t="shared" si="451"/>
        <v>0</v>
      </c>
      <c r="AA679" s="370" t="e">
        <f t="shared" ca="1" si="443"/>
        <v>#NAME?</v>
      </c>
      <c r="AB679" s="171"/>
      <c r="AC679" s="172">
        <f>AC680</f>
        <v>75000</v>
      </c>
      <c r="AD679" s="172">
        <f>AD680</f>
        <v>75000</v>
      </c>
      <c r="AE679" s="178">
        <f>O679/M679*100</f>
        <v>195.35668101003535</v>
      </c>
      <c r="AF679" s="178">
        <f t="shared" si="448"/>
        <v>68.055480284601629</v>
      </c>
      <c r="AG679" s="178">
        <f t="shared" si="448"/>
        <v>114.28571428571428</v>
      </c>
      <c r="AH679" s="178">
        <f>AC679/Q679*100</f>
        <v>93.75</v>
      </c>
      <c r="AI679" s="171"/>
      <c r="AJ679" s="171">
        <v>110000</v>
      </c>
      <c r="AK679" s="171">
        <f t="shared" si="445"/>
        <v>120.03445694999506</v>
      </c>
      <c r="AL679" s="171">
        <f t="shared" si="449"/>
        <v>117.64705882352942</v>
      </c>
      <c r="AM679" s="171">
        <f t="shared" si="449"/>
        <v>110.00000000000001</v>
      </c>
      <c r="AN679" s="90"/>
      <c r="AO679" s="460"/>
      <c r="AP679" s="193" t="e">
        <f t="shared" ca="1" si="442"/>
        <v>#NAME?</v>
      </c>
      <c r="AQ679" s="200">
        <f>AQ680</f>
        <v>65515.11</v>
      </c>
      <c r="AR679" s="204">
        <f>V679/R679*100</f>
        <v>120.03445694999506</v>
      </c>
      <c r="AS679" s="204">
        <f>W679/V679*100</f>
        <v>100</v>
      </c>
      <c r="AT679" s="204">
        <f>W679/R679*100</f>
        <v>120.03445694999506</v>
      </c>
      <c r="AU679" s="204">
        <f>AQ679/W679*100</f>
        <v>77.076600000000013</v>
      </c>
      <c r="AV679" s="204">
        <f>AQ679/R679*100</f>
        <v>92.518478245519887</v>
      </c>
    </row>
    <row r="680" spans="1:48" ht="12" customHeight="1">
      <c r="A680" s="53"/>
      <c r="B680" s="53"/>
      <c r="C680" s="53"/>
      <c r="D680" s="53"/>
      <c r="E680" s="53"/>
      <c r="F680" s="53"/>
      <c r="G680" s="53"/>
      <c r="H680" s="1">
        <v>70</v>
      </c>
      <c r="I680" s="397">
        <v>640</v>
      </c>
      <c r="J680" s="229">
        <v>3223</v>
      </c>
      <c r="K680" s="18" t="s">
        <v>242</v>
      </c>
      <c r="L680" s="130">
        <v>396699</v>
      </c>
      <c r="M680" s="130">
        <f>396699/7.5345</f>
        <v>52651.005375273737</v>
      </c>
      <c r="N680" s="131">
        <v>774978</v>
      </c>
      <c r="O680" s="131">
        <f>N680/7.5345</f>
        <v>102857.25661955007</v>
      </c>
      <c r="P680" s="132">
        <v>70000</v>
      </c>
      <c r="Q680" s="163">
        <v>80000</v>
      </c>
      <c r="R680" s="159">
        <v>70813</v>
      </c>
      <c r="S680" s="165" t="e">
        <f ca="1">__xlfn.XLOOKUP(H680,[1]Izvršenje_proračuna_po_pozicija!$B$2:$B$153,[1]Izvršenje_proračuna_po_pozicija!$E$2:$E$153,0)</f>
        <v>#NAME?</v>
      </c>
      <c r="T680" s="165"/>
      <c r="U680" s="165"/>
      <c r="V680" s="200">
        <v>85000</v>
      </c>
      <c r="W680" s="200">
        <v>85000</v>
      </c>
      <c r="X680" s="164">
        <v>100000</v>
      </c>
      <c r="Y680" s="378">
        <v>110000</v>
      </c>
      <c r="Z680" s="378"/>
      <c r="AA680" s="370" t="e">
        <f t="shared" ca="1" si="443"/>
        <v>#NAME?</v>
      </c>
      <c r="AB680" s="183"/>
      <c r="AC680" s="178">
        <v>75000</v>
      </c>
      <c r="AD680" s="178">
        <v>75000</v>
      </c>
      <c r="AE680" s="178">
        <f>O680/M680*100</f>
        <v>195.35668101003535</v>
      </c>
      <c r="AF680" s="178">
        <f t="shared" si="448"/>
        <v>68.055480284601629</v>
      </c>
      <c r="AG680" s="178">
        <f t="shared" si="448"/>
        <v>114.28571428571428</v>
      </c>
      <c r="AH680" s="178">
        <f>AC680/Q680*100</f>
        <v>93.75</v>
      </c>
      <c r="AI680" s="183"/>
      <c r="AJ680" s="378">
        <v>110000</v>
      </c>
      <c r="AK680" s="171">
        <f t="shared" si="445"/>
        <v>120.03445694999506</v>
      </c>
      <c r="AL680" s="171">
        <f t="shared" si="449"/>
        <v>117.64705882352942</v>
      </c>
      <c r="AM680" s="171">
        <f t="shared" si="449"/>
        <v>110.00000000000001</v>
      </c>
      <c r="AN680" s="165"/>
      <c r="AO680" s="460"/>
      <c r="AP680" s="193" t="e">
        <f t="shared" ca="1" si="442"/>
        <v>#NAME?</v>
      </c>
      <c r="AQ680" s="200">
        <v>65515.11</v>
      </c>
      <c r="AR680" s="204">
        <f>V680/R680*100</f>
        <v>120.03445694999506</v>
      </c>
      <c r="AS680" s="204">
        <f>W680/V680*100</f>
        <v>100</v>
      </c>
      <c r="AT680" s="204">
        <f>W680/R680*100</f>
        <v>120.03445694999506</v>
      </c>
      <c r="AU680" s="204">
        <f>AQ680/W680*100</f>
        <v>77.076600000000013</v>
      </c>
      <c r="AV680" s="204">
        <f>AQ680/R680*100</f>
        <v>92.518478245519887</v>
      </c>
    </row>
    <row r="681" spans="1:48" ht="12" customHeight="1">
      <c r="A681" s="53"/>
      <c r="B681" s="53"/>
      <c r="C681" s="53"/>
      <c r="D681" s="53"/>
      <c r="E681" s="53"/>
      <c r="F681" s="53"/>
      <c r="G681" s="53"/>
      <c r="H681" s="1"/>
      <c r="I681" s="397"/>
      <c r="J681" s="229"/>
      <c r="K681" s="18"/>
      <c r="L681" s="130"/>
      <c r="M681" s="130"/>
      <c r="N681" s="131"/>
      <c r="O681" s="131"/>
      <c r="P681" s="132"/>
      <c r="Q681" s="132"/>
      <c r="R681" s="159"/>
      <c r="S681" s="165" t="e">
        <f ca="1">__xlfn.XLOOKUP(H681,[1]Izvršenje_proračuna_po_pozicija!$B$2:$B$153,[1]Izvršenje_proračuna_po_pozicija!$E$2:$E$153,0)</f>
        <v>#NAME?</v>
      </c>
      <c r="T681" s="165"/>
      <c r="U681" s="165"/>
      <c r="V681" s="200"/>
      <c r="W681" s="200"/>
      <c r="X681" s="164"/>
      <c r="Y681" s="378"/>
      <c r="Z681" s="378"/>
      <c r="AA681" s="370" t="e">
        <f t="shared" ca="1" si="443"/>
        <v>#NAME?</v>
      </c>
      <c r="AB681" s="183"/>
      <c r="AC681" s="178"/>
      <c r="AD681" s="178"/>
      <c r="AE681" s="178"/>
      <c r="AF681" s="178"/>
      <c r="AG681" s="178"/>
      <c r="AH681" s="178"/>
      <c r="AI681" s="183"/>
      <c r="AJ681" s="378"/>
      <c r="AK681" s="171"/>
      <c r="AL681" s="171"/>
      <c r="AM681" s="171"/>
      <c r="AN681" s="165"/>
      <c r="AO681" s="460"/>
      <c r="AP681" s="193" t="e">
        <f t="shared" ca="1" si="442"/>
        <v>#NAME?</v>
      </c>
      <c r="AQ681" s="200"/>
      <c r="AR681" s="204"/>
      <c r="AS681" s="204"/>
      <c r="AT681" s="204"/>
      <c r="AU681" s="204"/>
      <c r="AV681" s="204"/>
    </row>
    <row r="682" spans="1:48" ht="12" customHeight="1">
      <c r="A682" s="62"/>
      <c r="B682" s="62"/>
      <c r="C682" s="62"/>
      <c r="D682" s="62"/>
      <c r="E682" s="62"/>
      <c r="F682" s="62"/>
      <c r="G682" s="62"/>
      <c r="H682" s="304"/>
      <c r="I682" s="464"/>
      <c r="J682" s="303">
        <v>323</v>
      </c>
      <c r="K682" s="19" t="s">
        <v>356</v>
      </c>
      <c r="L682" s="112">
        <f t="shared" ref="L682:Z682" si="452">L683</f>
        <v>366478</v>
      </c>
      <c r="M682" s="112">
        <f t="shared" si="452"/>
        <v>48639.989382175321</v>
      </c>
      <c r="N682" s="113">
        <f t="shared" si="452"/>
        <v>380037</v>
      </c>
      <c r="O682" s="113">
        <f t="shared" si="452"/>
        <v>50439.577941469237</v>
      </c>
      <c r="P682" s="114">
        <f t="shared" si="452"/>
        <v>53000</v>
      </c>
      <c r="Q682" s="114">
        <f t="shared" si="452"/>
        <v>53000</v>
      </c>
      <c r="R682" s="88">
        <f t="shared" si="452"/>
        <v>52839</v>
      </c>
      <c r="S682" s="90" t="e">
        <f t="shared" ca="1" si="452"/>
        <v>#NAME?</v>
      </c>
      <c r="T682" s="90"/>
      <c r="U682" s="90"/>
      <c r="V682" s="200">
        <f t="shared" si="447"/>
        <v>150000</v>
      </c>
      <c r="W682" s="200">
        <f t="shared" si="452"/>
        <v>150000</v>
      </c>
      <c r="X682" s="88">
        <f t="shared" si="452"/>
        <v>150000</v>
      </c>
      <c r="Y682" s="171">
        <f t="shared" si="452"/>
        <v>120000</v>
      </c>
      <c r="Z682" s="171">
        <f t="shared" si="452"/>
        <v>0</v>
      </c>
      <c r="AA682" s="370" t="e">
        <f t="shared" ca="1" si="443"/>
        <v>#NAME?</v>
      </c>
      <c r="AB682" s="171"/>
      <c r="AC682" s="172">
        <f>AC683</f>
        <v>54000</v>
      </c>
      <c r="AD682" s="172">
        <f>AD683</f>
        <v>54000</v>
      </c>
      <c r="AE682" s="178">
        <f>O682/M682*100</f>
        <v>103.69981281277458</v>
      </c>
      <c r="AF682" s="178">
        <f>P682/O682*100</f>
        <v>105.07621626315333</v>
      </c>
      <c r="AG682" s="178">
        <f>Q682/P682*100</f>
        <v>100</v>
      </c>
      <c r="AH682" s="178">
        <f>AC682/Q682*100</f>
        <v>101.88679245283019</v>
      </c>
      <c r="AI682" s="171"/>
      <c r="AJ682" s="171">
        <v>120000</v>
      </c>
      <c r="AK682" s="171">
        <f t="shared" si="445"/>
        <v>283.88122409583832</v>
      </c>
      <c r="AL682" s="171">
        <f>X682/W682*100</f>
        <v>100</v>
      </c>
      <c r="AM682" s="171">
        <f>Y682/X682*100</f>
        <v>80</v>
      </c>
      <c r="AN682" s="90"/>
      <c r="AO682" s="460"/>
      <c r="AP682" s="193" t="e">
        <f t="shared" ca="1" si="442"/>
        <v>#NAME?</v>
      </c>
      <c r="AQ682" s="200">
        <f>AQ683</f>
        <v>149648.49</v>
      </c>
      <c r="AR682" s="204">
        <f>V682/R682*100</f>
        <v>283.88122409583832</v>
      </c>
      <c r="AS682" s="204">
        <f>W682/V682*100</f>
        <v>100</v>
      </c>
      <c r="AT682" s="204">
        <f>W682/R682*100</f>
        <v>283.88122409583832</v>
      </c>
      <c r="AU682" s="204">
        <f>AQ682/W682*100</f>
        <v>99.765659999999983</v>
      </c>
      <c r="AV682" s="204">
        <f>AQ682/R682*100</f>
        <v>283.21597683529211</v>
      </c>
    </row>
    <row r="683" spans="1:48" ht="12" customHeight="1">
      <c r="A683" s="53"/>
      <c r="B683" s="53"/>
      <c r="C683" s="53"/>
      <c r="D683" s="53"/>
      <c r="E683" s="53"/>
      <c r="F683" s="53"/>
      <c r="G683" s="53"/>
      <c r="H683" s="1">
        <v>97</v>
      </c>
      <c r="I683" s="397">
        <v>640</v>
      </c>
      <c r="J683" s="229">
        <v>3232</v>
      </c>
      <c r="K683" s="18" t="s">
        <v>581</v>
      </c>
      <c r="L683" s="130">
        <v>366478</v>
      </c>
      <c r="M683" s="130">
        <f>366478/7.5345</f>
        <v>48639.989382175321</v>
      </c>
      <c r="N683" s="131">
        <v>380037</v>
      </c>
      <c r="O683" s="131">
        <f>N683/7.5345</f>
        <v>50439.577941469237</v>
      </c>
      <c r="P683" s="132">
        <v>53000</v>
      </c>
      <c r="Q683" s="132">
        <v>53000</v>
      </c>
      <c r="R683" s="159">
        <v>52839</v>
      </c>
      <c r="S683" s="165" t="e">
        <f ca="1">__xlfn.XLOOKUP(H683,[1]Izvršenje_proračuna_po_pozicija!$B$2:$B$153,[1]Izvršenje_proračuna_po_pozicija!$E$2:$E$153,0)</f>
        <v>#NAME?</v>
      </c>
      <c r="T683" s="165"/>
      <c r="U683" s="165"/>
      <c r="V683" s="200">
        <v>150000</v>
      </c>
      <c r="W683" s="200">
        <v>150000</v>
      </c>
      <c r="X683" s="164">
        <v>150000</v>
      </c>
      <c r="Y683" s="378">
        <v>120000</v>
      </c>
      <c r="Z683" s="378"/>
      <c r="AA683" s="370" t="e">
        <f t="shared" ca="1" si="443"/>
        <v>#NAME?</v>
      </c>
      <c r="AB683" s="183"/>
      <c r="AC683" s="178">
        <v>54000</v>
      </c>
      <c r="AD683" s="178">
        <v>54000</v>
      </c>
      <c r="AE683" s="178">
        <f>O683/M683*100</f>
        <v>103.69981281277458</v>
      </c>
      <c r="AF683" s="178">
        <f>P683/O683*100</f>
        <v>105.07621626315333</v>
      </c>
      <c r="AG683" s="178">
        <f>Q683/P683*100</f>
        <v>100</v>
      </c>
      <c r="AH683" s="178">
        <f>AC683/Q683*100</f>
        <v>101.88679245283019</v>
      </c>
      <c r="AI683" s="183"/>
      <c r="AJ683" s="378">
        <v>120000</v>
      </c>
      <c r="AK683" s="171">
        <f t="shared" si="445"/>
        <v>283.88122409583832</v>
      </c>
      <c r="AL683" s="171">
        <f>X683/W683*100</f>
        <v>100</v>
      </c>
      <c r="AM683" s="171">
        <f>Y683/X683*100</f>
        <v>80</v>
      </c>
      <c r="AN683" s="165"/>
      <c r="AO683" s="460"/>
      <c r="AP683" s="193" t="e">
        <f t="shared" ca="1" si="442"/>
        <v>#NAME?</v>
      </c>
      <c r="AQ683" s="200">
        <v>149648.49</v>
      </c>
      <c r="AR683" s="204">
        <f>V683/R683*100</f>
        <v>283.88122409583832</v>
      </c>
      <c r="AS683" s="204">
        <f>W683/V683*100</f>
        <v>100</v>
      </c>
      <c r="AT683" s="204">
        <f>W683/R683*100</f>
        <v>283.88122409583832</v>
      </c>
      <c r="AU683" s="204">
        <f>AQ683/W683*100</f>
        <v>99.765659999999983</v>
      </c>
      <c r="AV683" s="204">
        <f>AQ683/R683*100</f>
        <v>283.21597683529211</v>
      </c>
    </row>
    <row r="684" spans="1:48" ht="12" customHeight="1">
      <c r="A684" s="53"/>
      <c r="B684" s="53"/>
      <c r="C684" s="53"/>
      <c r="D684" s="53"/>
      <c r="E684" s="53"/>
      <c r="F684" s="53"/>
      <c r="G684" s="53"/>
      <c r="H684" s="1"/>
      <c r="I684" s="397"/>
      <c r="J684" s="229"/>
      <c r="K684" s="18"/>
      <c r="L684" s="119"/>
      <c r="M684" s="119"/>
      <c r="N684" s="120"/>
      <c r="O684" s="120"/>
      <c r="P684" s="121"/>
      <c r="Q684" s="121"/>
      <c r="R684" s="157"/>
      <c r="S684" s="165" t="e">
        <f ca="1">__xlfn.XLOOKUP(H684,[1]Izvršenje_proračuna_po_pozicija!$B$2:$B$153,[1]Izvršenje_proračuna_po_pozicija!$E$2:$E$153,0)</f>
        <v>#NAME?</v>
      </c>
      <c r="T684" s="165"/>
      <c r="U684" s="165"/>
      <c r="V684" s="200"/>
      <c r="W684" s="200"/>
      <c r="X684" s="164"/>
      <c r="Y684" s="369"/>
      <c r="Z684" s="369"/>
      <c r="AA684" s="370" t="e">
        <f t="shared" ca="1" si="443"/>
        <v>#NAME?</v>
      </c>
      <c r="AB684" s="179"/>
      <c r="AC684" s="180"/>
      <c r="AD684" s="180"/>
      <c r="AE684" s="178"/>
      <c r="AF684" s="178"/>
      <c r="AG684" s="178"/>
      <c r="AH684" s="178"/>
      <c r="AI684" s="179"/>
      <c r="AJ684" s="369"/>
      <c r="AK684" s="171"/>
      <c r="AL684" s="171"/>
      <c r="AM684" s="171"/>
      <c r="AN684" s="158"/>
      <c r="AO684" s="460"/>
      <c r="AP684" s="193" t="e">
        <f t="shared" ca="1" si="442"/>
        <v>#NAME?</v>
      </c>
      <c r="AQ684" s="200"/>
      <c r="AR684" s="204"/>
      <c r="AS684" s="204"/>
      <c r="AT684" s="204"/>
      <c r="AU684" s="204"/>
      <c r="AV684" s="204"/>
    </row>
    <row r="685" spans="1:48" ht="12" customHeight="1">
      <c r="A685" s="390" t="s">
        <v>426</v>
      </c>
      <c r="B685" s="391"/>
      <c r="C685" s="391"/>
      <c r="D685" s="391"/>
      <c r="E685" s="391"/>
      <c r="F685" s="391"/>
      <c r="G685" s="391"/>
      <c r="H685" s="392"/>
      <c r="I685" s="485" t="s">
        <v>582</v>
      </c>
      <c r="J685" s="486"/>
      <c r="K685" s="300"/>
      <c r="L685" s="112">
        <f t="shared" ref="L685:S685" si="453">L687</f>
        <v>670000</v>
      </c>
      <c r="M685" s="112">
        <f t="shared" si="453"/>
        <v>88924.281637799446</v>
      </c>
      <c r="N685" s="113">
        <f t="shared" si="453"/>
        <v>1144000</v>
      </c>
      <c r="O685" s="113">
        <f t="shared" si="453"/>
        <v>151834.89282633219</v>
      </c>
      <c r="P685" s="114">
        <f t="shared" si="453"/>
        <v>80000</v>
      </c>
      <c r="Q685" s="114">
        <f t="shared" si="453"/>
        <v>190000</v>
      </c>
      <c r="R685" s="88">
        <f t="shared" si="453"/>
        <v>171558</v>
      </c>
      <c r="S685" s="90" t="e">
        <f t="shared" ca="1" si="453"/>
        <v>#NAME?</v>
      </c>
      <c r="T685" s="90"/>
      <c r="U685" s="90"/>
      <c r="V685" s="200">
        <f>V687</f>
        <v>132000</v>
      </c>
      <c r="W685" s="200">
        <f>W687</f>
        <v>132000</v>
      </c>
      <c r="X685" s="88">
        <f>X687</f>
        <v>200000</v>
      </c>
      <c r="Y685" s="171">
        <f>Y687</f>
        <v>300000</v>
      </c>
      <c r="Z685" s="171">
        <f>Z687</f>
        <v>0</v>
      </c>
      <c r="AA685" s="370" t="e">
        <f t="shared" ca="1" si="443"/>
        <v>#NAME?</v>
      </c>
      <c r="AB685" s="171"/>
      <c r="AC685" s="172">
        <f>AC687</f>
        <v>85000</v>
      </c>
      <c r="AD685" s="172">
        <f>AD687</f>
        <v>85000</v>
      </c>
      <c r="AE685" s="178">
        <f>O685/M685*100</f>
        <v>170.74626865671644</v>
      </c>
      <c r="AF685" s="178">
        <f>P685/O685*100</f>
        <v>52.688811188811194</v>
      </c>
      <c r="AG685" s="178">
        <f>Q685/P685*100</f>
        <v>237.5</v>
      </c>
      <c r="AH685" s="178">
        <f>AC685/Q685*100</f>
        <v>44.736842105263158</v>
      </c>
      <c r="AI685" s="171"/>
      <c r="AJ685" s="171">
        <v>300000</v>
      </c>
      <c r="AK685" s="171">
        <f t="shared" si="445"/>
        <v>76.941908858811587</v>
      </c>
      <c r="AL685" s="171">
        <f>X685/W685*100</f>
        <v>151.5151515151515</v>
      </c>
      <c r="AM685" s="171">
        <f>Y685/X685*100</f>
        <v>150</v>
      </c>
      <c r="AN685" s="90"/>
      <c r="AO685" s="460"/>
      <c r="AP685" s="193" t="e">
        <f t="shared" ca="1" si="442"/>
        <v>#NAME?</v>
      </c>
      <c r="AQ685" s="200">
        <f>AQ687</f>
        <v>95000</v>
      </c>
      <c r="AR685" s="204">
        <f>V685/R685*100</f>
        <v>76.941908858811587</v>
      </c>
      <c r="AS685" s="204">
        <f>W685/V685*100</f>
        <v>100</v>
      </c>
      <c r="AT685" s="204">
        <f>W685/R685*100</f>
        <v>76.941908858811587</v>
      </c>
      <c r="AU685" s="204">
        <f>AQ685/W685*100</f>
        <v>71.969696969696969</v>
      </c>
      <c r="AV685" s="204">
        <f>AQ685/R685*100</f>
        <v>55.374858648387139</v>
      </c>
    </row>
    <row r="686" spans="1:48" ht="12" customHeight="1">
      <c r="A686" s="69"/>
      <c r="B686" s="69"/>
      <c r="C686" s="69"/>
      <c r="D686" s="69"/>
      <c r="E686" s="69"/>
      <c r="F686" s="69"/>
      <c r="G686" s="69"/>
      <c r="H686" s="436"/>
      <c r="I686" s="3"/>
      <c r="J686" s="7"/>
      <c r="K686" s="142"/>
      <c r="L686" s="85"/>
      <c r="M686" s="85"/>
      <c r="N686" s="86"/>
      <c r="O686" s="86"/>
      <c r="P686" s="87"/>
      <c r="Q686" s="87"/>
      <c r="R686" s="160"/>
      <c r="S686" s="165" t="e">
        <f ca="1">__xlfn.XLOOKUP(H686,[1]Izvršenje_proračuna_po_pozicija!$B$2:$B$153,[1]Izvršenje_proračuna_po_pozicija!$E$2:$E$153,0)</f>
        <v>#NAME?</v>
      </c>
      <c r="T686" s="165"/>
      <c r="U686" s="165"/>
      <c r="V686" s="200"/>
      <c r="W686" s="200"/>
      <c r="X686" s="361"/>
      <c r="Y686" s="373"/>
      <c r="Z686" s="373"/>
      <c r="AA686" s="370" t="e">
        <f t="shared" ca="1" si="443"/>
        <v>#NAME?</v>
      </c>
      <c r="AB686" s="181"/>
      <c r="AC686" s="182"/>
      <c r="AD686" s="182"/>
      <c r="AE686" s="178"/>
      <c r="AF686" s="178"/>
      <c r="AG686" s="178"/>
      <c r="AH686" s="178"/>
      <c r="AI686" s="181"/>
      <c r="AJ686" s="373"/>
      <c r="AK686" s="171"/>
      <c r="AL686" s="171"/>
      <c r="AM686" s="171"/>
      <c r="AN686" s="161"/>
      <c r="AO686" s="460"/>
      <c r="AP686" s="193" t="e">
        <f t="shared" ca="1" si="442"/>
        <v>#NAME?</v>
      </c>
      <c r="AQ686" s="200"/>
      <c r="AR686" s="204"/>
      <c r="AS686" s="204"/>
      <c r="AT686" s="204"/>
      <c r="AU686" s="204"/>
      <c r="AV686" s="204"/>
    </row>
    <row r="687" spans="1:48" ht="12" customHeight="1">
      <c r="A687" s="24"/>
      <c r="B687" s="24"/>
      <c r="C687" s="24"/>
      <c r="D687" s="24"/>
      <c r="E687" s="24"/>
      <c r="F687" s="24"/>
      <c r="G687" s="24"/>
      <c r="H687" s="393"/>
      <c r="I687" s="465"/>
      <c r="J687" s="281">
        <v>3</v>
      </c>
      <c r="K687" s="91" t="s">
        <v>224</v>
      </c>
      <c r="L687" s="112">
        <f t="shared" ref="L687:S689" si="454">L688</f>
        <v>670000</v>
      </c>
      <c r="M687" s="112">
        <f t="shared" si="454"/>
        <v>88924.281637799446</v>
      </c>
      <c r="N687" s="113">
        <f t="shared" si="454"/>
        <v>1144000</v>
      </c>
      <c r="O687" s="113">
        <f t="shared" si="454"/>
        <v>151834.89282633219</v>
      </c>
      <c r="P687" s="114">
        <f t="shared" si="454"/>
        <v>80000</v>
      </c>
      <c r="Q687" s="114">
        <f t="shared" si="454"/>
        <v>190000</v>
      </c>
      <c r="R687" s="88">
        <f t="shared" si="454"/>
        <v>171558</v>
      </c>
      <c r="S687" s="90" t="e">
        <f t="shared" ca="1" si="454"/>
        <v>#NAME?</v>
      </c>
      <c r="T687" s="90"/>
      <c r="U687" s="90"/>
      <c r="V687" s="200">
        <f>V688</f>
        <v>132000</v>
      </c>
      <c r="W687" s="200">
        <f t="shared" ref="W687:Z689" si="455">W688</f>
        <v>132000</v>
      </c>
      <c r="X687" s="88">
        <f t="shared" si="455"/>
        <v>200000</v>
      </c>
      <c r="Y687" s="171">
        <f t="shared" si="455"/>
        <v>300000</v>
      </c>
      <c r="Z687" s="171">
        <f t="shared" si="455"/>
        <v>0</v>
      </c>
      <c r="AA687" s="370" t="e">
        <f t="shared" ca="1" si="443"/>
        <v>#NAME?</v>
      </c>
      <c r="AB687" s="171"/>
      <c r="AC687" s="172">
        <f t="shared" ref="AC687:AD689" si="456">AC688</f>
        <v>85000</v>
      </c>
      <c r="AD687" s="172">
        <f t="shared" si="456"/>
        <v>85000</v>
      </c>
      <c r="AE687" s="178">
        <f>O687/M687*100</f>
        <v>170.74626865671644</v>
      </c>
      <c r="AF687" s="178">
        <f t="shared" ref="AF687:AG690" si="457">P687/O687*100</f>
        <v>52.688811188811194</v>
      </c>
      <c r="AG687" s="178">
        <f t="shared" si="457"/>
        <v>237.5</v>
      </c>
      <c r="AH687" s="178">
        <f>AC687/Q687*100</f>
        <v>44.736842105263158</v>
      </c>
      <c r="AI687" s="171"/>
      <c r="AJ687" s="171">
        <v>300000</v>
      </c>
      <c r="AK687" s="171">
        <f t="shared" si="445"/>
        <v>76.941908858811587</v>
      </c>
      <c r="AL687" s="171">
        <f t="shared" ref="AL687:AM690" si="458">X687/W687*100</f>
        <v>151.5151515151515</v>
      </c>
      <c r="AM687" s="171">
        <f t="shared" si="458"/>
        <v>150</v>
      </c>
      <c r="AN687" s="90"/>
      <c r="AO687" s="460"/>
      <c r="AP687" s="193" t="e">
        <f t="shared" ca="1" si="442"/>
        <v>#NAME?</v>
      </c>
      <c r="AQ687" s="200">
        <f>AQ688</f>
        <v>95000</v>
      </c>
      <c r="AR687" s="204">
        <f>V687/R687*100</f>
        <v>76.941908858811587</v>
      </c>
      <c r="AS687" s="204">
        <f>W687/V687*100</f>
        <v>100</v>
      </c>
      <c r="AT687" s="204">
        <f>W687/R687*100</f>
        <v>76.941908858811587</v>
      </c>
      <c r="AU687" s="204">
        <f>AQ687/W687*100</f>
        <v>71.969696969696969</v>
      </c>
      <c r="AV687" s="204">
        <f>AQ687/R687*100</f>
        <v>55.374858648387139</v>
      </c>
    </row>
    <row r="688" spans="1:48" ht="12" customHeight="1">
      <c r="A688" s="301"/>
      <c r="B688" s="301"/>
      <c r="C688" s="301"/>
      <c r="D688" s="301"/>
      <c r="E688" s="301"/>
      <c r="F688" s="301"/>
      <c r="G688" s="301"/>
      <c r="H688" s="307"/>
      <c r="I688" s="350"/>
      <c r="J688" s="302">
        <v>38</v>
      </c>
      <c r="K688" s="487" t="s">
        <v>285</v>
      </c>
      <c r="L688" s="112">
        <f t="shared" si="454"/>
        <v>670000</v>
      </c>
      <c r="M688" s="112">
        <f t="shared" si="454"/>
        <v>88924.281637799446</v>
      </c>
      <c r="N688" s="113">
        <f t="shared" si="454"/>
        <v>1144000</v>
      </c>
      <c r="O688" s="113">
        <f t="shared" si="454"/>
        <v>151834.89282633219</v>
      </c>
      <c r="P688" s="114">
        <f t="shared" si="454"/>
        <v>80000</v>
      </c>
      <c r="Q688" s="114">
        <f t="shared" si="454"/>
        <v>190000</v>
      </c>
      <c r="R688" s="88">
        <f t="shared" si="454"/>
        <v>171558</v>
      </c>
      <c r="S688" s="90" t="e">
        <f t="shared" ca="1" si="454"/>
        <v>#NAME?</v>
      </c>
      <c r="T688" s="90"/>
      <c r="U688" s="90"/>
      <c r="V688" s="200">
        <f>V689</f>
        <v>132000</v>
      </c>
      <c r="W688" s="200">
        <f t="shared" si="455"/>
        <v>132000</v>
      </c>
      <c r="X688" s="88">
        <f t="shared" si="455"/>
        <v>200000</v>
      </c>
      <c r="Y688" s="171">
        <f t="shared" si="455"/>
        <v>300000</v>
      </c>
      <c r="Z688" s="171">
        <f t="shared" si="455"/>
        <v>0</v>
      </c>
      <c r="AA688" s="370" t="e">
        <f t="shared" ca="1" si="443"/>
        <v>#NAME?</v>
      </c>
      <c r="AB688" s="171"/>
      <c r="AC688" s="172">
        <f t="shared" si="456"/>
        <v>85000</v>
      </c>
      <c r="AD688" s="172">
        <f t="shared" si="456"/>
        <v>85000</v>
      </c>
      <c r="AE688" s="178">
        <f>O688/M688*100</f>
        <v>170.74626865671644</v>
      </c>
      <c r="AF688" s="178">
        <f t="shared" si="457"/>
        <v>52.688811188811194</v>
      </c>
      <c r="AG688" s="178">
        <f t="shared" si="457"/>
        <v>237.5</v>
      </c>
      <c r="AH688" s="178">
        <f>AC688/Q688*100</f>
        <v>44.736842105263158</v>
      </c>
      <c r="AI688" s="171"/>
      <c r="AJ688" s="171">
        <v>300000</v>
      </c>
      <c r="AK688" s="171">
        <f t="shared" si="445"/>
        <v>76.941908858811587</v>
      </c>
      <c r="AL688" s="171">
        <f t="shared" si="458"/>
        <v>151.5151515151515</v>
      </c>
      <c r="AM688" s="171">
        <f t="shared" si="458"/>
        <v>150</v>
      </c>
      <c r="AN688" s="90"/>
      <c r="AO688" s="460"/>
      <c r="AP688" s="193" t="e">
        <f t="shared" ca="1" si="442"/>
        <v>#NAME?</v>
      </c>
      <c r="AQ688" s="200">
        <f>AQ689</f>
        <v>95000</v>
      </c>
      <c r="AR688" s="204">
        <f>V688/R688*100</f>
        <v>76.941908858811587</v>
      </c>
      <c r="AS688" s="204">
        <f>W688/V688*100</f>
        <v>100</v>
      </c>
      <c r="AT688" s="204">
        <f>W688/R688*100</f>
        <v>76.941908858811587</v>
      </c>
      <c r="AU688" s="204">
        <f>AQ688/W688*100</f>
        <v>71.969696969696969</v>
      </c>
      <c r="AV688" s="204">
        <f>AQ688/R688*100</f>
        <v>55.374858648387139</v>
      </c>
    </row>
    <row r="689" spans="1:48" ht="12" customHeight="1">
      <c r="A689" s="62"/>
      <c r="B689" s="62"/>
      <c r="C689" s="62"/>
      <c r="D689" s="62"/>
      <c r="E689" s="62"/>
      <c r="F689" s="62"/>
      <c r="G689" s="62"/>
      <c r="H689" s="304"/>
      <c r="I689" s="464"/>
      <c r="J689" s="303">
        <v>386</v>
      </c>
      <c r="K689" s="140" t="s">
        <v>505</v>
      </c>
      <c r="L689" s="112">
        <f t="shared" si="454"/>
        <v>670000</v>
      </c>
      <c r="M689" s="112">
        <f t="shared" si="454"/>
        <v>88924.281637799446</v>
      </c>
      <c r="N689" s="113">
        <f t="shared" si="454"/>
        <v>1144000</v>
      </c>
      <c r="O689" s="113">
        <f t="shared" si="454"/>
        <v>151834.89282633219</v>
      </c>
      <c r="P689" s="114">
        <f t="shared" si="454"/>
        <v>80000</v>
      </c>
      <c r="Q689" s="114">
        <f t="shared" si="454"/>
        <v>190000</v>
      </c>
      <c r="R689" s="88">
        <f t="shared" si="454"/>
        <v>171558</v>
      </c>
      <c r="S689" s="90" t="e">
        <f t="shared" ca="1" si="454"/>
        <v>#NAME?</v>
      </c>
      <c r="T689" s="90"/>
      <c r="U689" s="90"/>
      <c r="V689" s="200">
        <f>V690</f>
        <v>132000</v>
      </c>
      <c r="W689" s="200">
        <f t="shared" si="455"/>
        <v>132000</v>
      </c>
      <c r="X689" s="88">
        <f t="shared" si="455"/>
        <v>200000</v>
      </c>
      <c r="Y689" s="171">
        <f t="shared" si="455"/>
        <v>300000</v>
      </c>
      <c r="Z689" s="171">
        <f t="shared" si="455"/>
        <v>0</v>
      </c>
      <c r="AA689" s="370" t="e">
        <f t="shared" ca="1" si="443"/>
        <v>#NAME?</v>
      </c>
      <c r="AB689" s="171"/>
      <c r="AC689" s="172">
        <f t="shared" si="456"/>
        <v>85000</v>
      </c>
      <c r="AD689" s="172">
        <f t="shared" si="456"/>
        <v>85000</v>
      </c>
      <c r="AE689" s="178">
        <f>O689/M689*100</f>
        <v>170.74626865671644</v>
      </c>
      <c r="AF689" s="178">
        <f t="shared" si="457"/>
        <v>52.688811188811194</v>
      </c>
      <c r="AG689" s="178">
        <f t="shared" si="457"/>
        <v>237.5</v>
      </c>
      <c r="AH689" s="178">
        <f>AC689/Q689*100</f>
        <v>44.736842105263158</v>
      </c>
      <c r="AI689" s="171"/>
      <c r="AJ689" s="171">
        <v>300000</v>
      </c>
      <c r="AK689" s="171">
        <f t="shared" si="445"/>
        <v>76.941908858811587</v>
      </c>
      <c r="AL689" s="171">
        <f t="shared" si="458"/>
        <v>151.5151515151515</v>
      </c>
      <c r="AM689" s="171">
        <f t="shared" si="458"/>
        <v>150</v>
      </c>
      <c r="AN689" s="90"/>
      <c r="AO689" s="460"/>
      <c r="AP689" s="193" t="e">
        <f t="shared" ca="1" si="442"/>
        <v>#NAME?</v>
      </c>
      <c r="AQ689" s="200">
        <f>AQ690</f>
        <v>95000</v>
      </c>
      <c r="AR689" s="204">
        <f>V689/R689*100</f>
        <v>76.941908858811587</v>
      </c>
      <c r="AS689" s="204">
        <f>W689/V689*100</f>
        <v>100</v>
      </c>
      <c r="AT689" s="204">
        <f>W689/R689*100</f>
        <v>76.941908858811587</v>
      </c>
      <c r="AU689" s="204">
        <f>AQ689/W689*100</f>
        <v>71.969696969696969</v>
      </c>
      <c r="AV689" s="204">
        <f>AQ689/R689*100</f>
        <v>55.374858648387139</v>
      </c>
    </row>
    <row r="690" spans="1:48" ht="12" customHeight="1">
      <c r="A690" s="53"/>
      <c r="B690" s="53"/>
      <c r="C690" s="53"/>
      <c r="D690" s="53"/>
      <c r="E690" s="53"/>
      <c r="F690" s="53"/>
      <c r="G690" s="53"/>
      <c r="H690" s="1">
        <v>172</v>
      </c>
      <c r="I690" s="397">
        <v>640</v>
      </c>
      <c r="J690" s="229">
        <v>3861</v>
      </c>
      <c r="K690" s="608" t="s">
        <v>583</v>
      </c>
      <c r="L690" s="130">
        <v>670000</v>
      </c>
      <c r="M690" s="130">
        <f>670000/7.5345</f>
        <v>88924.281637799446</v>
      </c>
      <c r="N690" s="131">
        <v>1144000</v>
      </c>
      <c r="O690" s="131">
        <f>N690/7.5345</f>
        <v>151834.89282633219</v>
      </c>
      <c r="P690" s="132">
        <v>80000</v>
      </c>
      <c r="Q690" s="163">
        <v>190000</v>
      </c>
      <c r="R690" s="159">
        <v>171558</v>
      </c>
      <c r="S690" s="165" t="e">
        <f ca="1">__xlfn.XLOOKUP(H690,[1]Izvršenje_proračuna_po_pozicija!$B$2:$B$153,[1]Izvršenje_proračuna_po_pozicija!$E$2:$E$153,0)</f>
        <v>#NAME?</v>
      </c>
      <c r="T690" s="165"/>
      <c r="U690" s="165"/>
      <c r="V690" s="200">
        <v>132000</v>
      </c>
      <c r="W690" s="200">
        <v>132000</v>
      </c>
      <c r="X690" s="164">
        <v>200000</v>
      </c>
      <c r="Y690" s="378">
        <v>300000</v>
      </c>
      <c r="Z690" s="378"/>
      <c r="AA690" s="370" t="e">
        <f t="shared" ca="1" si="443"/>
        <v>#NAME?</v>
      </c>
      <c r="AB690" s="183"/>
      <c r="AC690" s="178">
        <v>85000</v>
      </c>
      <c r="AD690" s="178">
        <v>85000</v>
      </c>
      <c r="AE690" s="178">
        <f>O690/M690*100</f>
        <v>170.74626865671644</v>
      </c>
      <c r="AF690" s="178">
        <f t="shared" si="457"/>
        <v>52.688811188811194</v>
      </c>
      <c r="AG690" s="178">
        <f t="shared" si="457"/>
        <v>237.5</v>
      </c>
      <c r="AH690" s="178">
        <f>AC690/Q690*100</f>
        <v>44.736842105263158</v>
      </c>
      <c r="AI690" s="183"/>
      <c r="AJ690" s="378">
        <v>300000</v>
      </c>
      <c r="AK690" s="171">
        <f t="shared" si="445"/>
        <v>76.941908858811587</v>
      </c>
      <c r="AL690" s="171">
        <f t="shared" si="458"/>
        <v>151.5151515151515</v>
      </c>
      <c r="AM690" s="171">
        <f t="shared" si="458"/>
        <v>150</v>
      </c>
      <c r="AN690" s="165"/>
      <c r="AO690" s="193"/>
      <c r="AP690" s="193" t="e">
        <f t="shared" ca="1" si="442"/>
        <v>#NAME?</v>
      </c>
      <c r="AQ690" s="200">
        <v>95000</v>
      </c>
      <c r="AR690" s="204">
        <f>V690/R690*100</f>
        <v>76.941908858811587</v>
      </c>
      <c r="AS690" s="204">
        <f>W690/V690*100</f>
        <v>100</v>
      </c>
      <c r="AT690" s="204">
        <f>W690/R690*100</f>
        <v>76.941908858811587</v>
      </c>
      <c r="AU690" s="204">
        <f>AQ690/W690*100</f>
        <v>71.969696969696969</v>
      </c>
      <c r="AV690" s="204">
        <f>AQ690/R690*100</f>
        <v>55.374858648387139</v>
      </c>
    </row>
    <row r="691" spans="1:48" ht="12" customHeight="1">
      <c r="A691" s="42"/>
      <c r="B691" s="42"/>
      <c r="C691" s="42"/>
      <c r="D691" s="42"/>
      <c r="E691" s="42"/>
      <c r="F691" s="42"/>
      <c r="G691" s="42"/>
      <c r="H691" s="308"/>
      <c r="I691" s="14"/>
      <c r="J691" s="2"/>
      <c r="K691" s="84"/>
      <c r="L691" s="85"/>
      <c r="M691" s="85"/>
      <c r="N691" s="86"/>
      <c r="O691" s="86"/>
      <c r="P691" s="87"/>
      <c r="Q691" s="87"/>
      <c r="R691" s="160"/>
      <c r="S691" s="165" t="e">
        <f ca="1">__xlfn.XLOOKUP(H691,[1]Izvršenje_proračuna_po_pozicija!$B$2:$B$153,[1]Izvršenje_proračuna_po_pozicija!$E$2:$E$153,0)</f>
        <v>#NAME?</v>
      </c>
      <c r="T691" s="165"/>
      <c r="U691" s="165"/>
      <c r="V691" s="200"/>
      <c r="W691" s="200"/>
      <c r="X691" s="361"/>
      <c r="Y691" s="373"/>
      <c r="Z691" s="373"/>
      <c r="AA691" s="370" t="e">
        <f t="shared" ca="1" si="443"/>
        <v>#NAME?</v>
      </c>
      <c r="AB691" s="181"/>
      <c r="AC691" s="182"/>
      <c r="AD691" s="182"/>
      <c r="AE691" s="178"/>
      <c r="AF691" s="178"/>
      <c r="AG691" s="178"/>
      <c r="AH691" s="178"/>
      <c r="AI691" s="181"/>
      <c r="AJ691" s="373"/>
      <c r="AK691" s="171"/>
      <c r="AL691" s="171"/>
      <c r="AM691" s="171"/>
      <c r="AN691" s="161"/>
      <c r="AO691" s="193"/>
      <c r="AP691" s="193" t="e">
        <f t="shared" ca="1" si="442"/>
        <v>#NAME?</v>
      </c>
      <c r="AQ691" s="200"/>
      <c r="AR691" s="204"/>
      <c r="AS691" s="204"/>
      <c r="AT691" s="204"/>
      <c r="AU691" s="204"/>
      <c r="AV691" s="204"/>
    </row>
    <row r="692" spans="1:48" ht="12" customHeight="1">
      <c r="A692" s="390" t="s">
        <v>584</v>
      </c>
      <c r="B692" s="391"/>
      <c r="C692" s="391"/>
      <c r="D692" s="391"/>
      <c r="E692" s="391"/>
      <c r="F692" s="391"/>
      <c r="G692" s="391"/>
      <c r="H692" s="392"/>
      <c r="I692" s="485" t="s">
        <v>585</v>
      </c>
      <c r="J692" s="486"/>
      <c r="K692" s="488"/>
      <c r="L692" s="112">
        <f t="shared" ref="L692:S692" si="459">L694</f>
        <v>0</v>
      </c>
      <c r="M692" s="112">
        <f t="shared" si="459"/>
        <v>0</v>
      </c>
      <c r="N692" s="113">
        <f t="shared" si="459"/>
        <v>0</v>
      </c>
      <c r="O692" s="113">
        <f t="shared" si="459"/>
        <v>0</v>
      </c>
      <c r="P692" s="114">
        <f t="shared" si="459"/>
        <v>0</v>
      </c>
      <c r="Q692" s="114">
        <f t="shared" si="459"/>
        <v>0</v>
      </c>
      <c r="R692" s="88">
        <f t="shared" si="459"/>
        <v>0</v>
      </c>
      <c r="S692" s="90" t="e">
        <f t="shared" ca="1" si="459"/>
        <v>#NAME?</v>
      </c>
      <c r="T692" s="90"/>
      <c r="U692" s="90"/>
      <c r="V692" s="200">
        <f>V694</f>
        <v>0</v>
      </c>
      <c r="W692" s="200">
        <f>W694</f>
        <v>0</v>
      </c>
      <c r="X692" s="88">
        <f>X694</f>
        <v>0</v>
      </c>
      <c r="Y692" s="171">
        <f>Y694</f>
        <v>0</v>
      </c>
      <c r="Z692" s="171">
        <f>Z694</f>
        <v>0</v>
      </c>
      <c r="AA692" s="370" t="e">
        <f t="shared" ca="1" si="443"/>
        <v>#NAME?</v>
      </c>
      <c r="AB692" s="171"/>
      <c r="AC692" s="172">
        <f>AC694</f>
        <v>0</v>
      </c>
      <c r="AD692" s="172">
        <f>AD694</f>
        <v>0</v>
      </c>
      <c r="AE692" s="178"/>
      <c r="AF692" s="178"/>
      <c r="AG692" s="178"/>
      <c r="AH692" s="178"/>
      <c r="AI692" s="171"/>
      <c r="AJ692" s="171">
        <v>0</v>
      </c>
      <c r="AK692" s="171"/>
      <c r="AL692" s="171"/>
      <c r="AM692" s="171"/>
      <c r="AN692" s="90"/>
      <c r="AO692" s="193"/>
      <c r="AP692" s="193" t="e">
        <f t="shared" ca="1" si="442"/>
        <v>#NAME?</v>
      </c>
      <c r="AQ692" s="200">
        <f>AQ694</f>
        <v>0</v>
      </c>
      <c r="AR692" s="204"/>
      <c r="AS692" s="204"/>
      <c r="AT692" s="204"/>
      <c r="AU692" s="204"/>
      <c r="AV692" s="204"/>
    </row>
    <row r="693" spans="1:48" ht="12" customHeight="1">
      <c r="A693" s="42"/>
      <c r="B693" s="42"/>
      <c r="C693" s="42"/>
      <c r="D693" s="42"/>
      <c r="E693" s="42"/>
      <c r="F693" s="42"/>
      <c r="G693" s="42"/>
      <c r="H693" s="308"/>
      <c r="I693" s="14"/>
      <c r="J693" s="2"/>
      <c r="K693" s="84"/>
      <c r="L693" s="85"/>
      <c r="M693" s="85"/>
      <c r="N693" s="86"/>
      <c r="O693" s="86"/>
      <c r="P693" s="87"/>
      <c r="Q693" s="87"/>
      <c r="R693" s="160"/>
      <c r="S693" s="165" t="e">
        <f ca="1">__xlfn.XLOOKUP(H693,[1]Izvršenje_proračuna_po_pozicija!$B$2:$B$153,[1]Izvršenje_proračuna_po_pozicija!$E$2:$E$153,0)</f>
        <v>#NAME?</v>
      </c>
      <c r="T693" s="165"/>
      <c r="U693" s="165"/>
      <c r="V693" s="200"/>
      <c r="W693" s="200"/>
      <c r="X693" s="361"/>
      <c r="Y693" s="373"/>
      <c r="Z693" s="373"/>
      <c r="AA693" s="370" t="e">
        <f t="shared" ca="1" si="443"/>
        <v>#NAME?</v>
      </c>
      <c r="AB693" s="181"/>
      <c r="AC693" s="182"/>
      <c r="AD693" s="182"/>
      <c r="AE693" s="178"/>
      <c r="AF693" s="178"/>
      <c r="AG693" s="178"/>
      <c r="AH693" s="178"/>
      <c r="AI693" s="181"/>
      <c r="AJ693" s="373"/>
      <c r="AK693" s="171"/>
      <c r="AL693" s="171"/>
      <c r="AM693" s="171"/>
      <c r="AN693" s="161"/>
      <c r="AO693" s="193"/>
      <c r="AP693" s="193" t="e">
        <f t="shared" ca="1" si="442"/>
        <v>#NAME?</v>
      </c>
      <c r="AQ693" s="200"/>
      <c r="AR693" s="204"/>
      <c r="AS693" s="204"/>
      <c r="AT693" s="204"/>
      <c r="AU693" s="204"/>
      <c r="AV693" s="204"/>
    </row>
    <row r="694" spans="1:48" ht="12" customHeight="1">
      <c r="A694" s="24"/>
      <c r="B694" s="24"/>
      <c r="C694" s="24"/>
      <c r="D694" s="24"/>
      <c r="E694" s="24"/>
      <c r="F694" s="24"/>
      <c r="G694" s="24"/>
      <c r="H694" s="393"/>
      <c r="I694" s="465"/>
      <c r="J694" s="281">
        <v>3</v>
      </c>
      <c r="K694" s="2" t="s">
        <v>224</v>
      </c>
      <c r="L694" s="112">
        <f t="shared" ref="L694:AD696" si="460">L695</f>
        <v>0</v>
      </c>
      <c r="M694" s="112">
        <f t="shared" si="460"/>
        <v>0</v>
      </c>
      <c r="N694" s="113">
        <f t="shared" si="460"/>
        <v>0</v>
      </c>
      <c r="O694" s="113">
        <f t="shared" si="460"/>
        <v>0</v>
      </c>
      <c r="P694" s="114">
        <f t="shared" si="460"/>
        <v>0</v>
      </c>
      <c r="Q694" s="114">
        <f t="shared" si="460"/>
        <v>0</v>
      </c>
      <c r="R694" s="88">
        <f t="shared" si="460"/>
        <v>0</v>
      </c>
      <c r="S694" s="90" t="e">
        <f t="shared" ca="1" si="460"/>
        <v>#NAME?</v>
      </c>
      <c r="T694" s="90"/>
      <c r="U694" s="90"/>
      <c r="V694" s="200">
        <f>V695</f>
        <v>0</v>
      </c>
      <c r="W694" s="200">
        <f t="shared" si="460"/>
        <v>0</v>
      </c>
      <c r="X694" s="88">
        <f t="shared" si="460"/>
        <v>0</v>
      </c>
      <c r="Y694" s="171">
        <f t="shared" si="460"/>
        <v>0</v>
      </c>
      <c r="Z694" s="171">
        <f t="shared" si="460"/>
        <v>0</v>
      </c>
      <c r="AA694" s="370" t="e">
        <f t="shared" ca="1" si="443"/>
        <v>#NAME?</v>
      </c>
      <c r="AB694" s="171"/>
      <c r="AC694" s="172">
        <f t="shared" si="460"/>
        <v>0</v>
      </c>
      <c r="AD694" s="172">
        <f t="shared" si="460"/>
        <v>0</v>
      </c>
      <c r="AE694" s="178"/>
      <c r="AF694" s="178"/>
      <c r="AG694" s="178"/>
      <c r="AH694" s="178"/>
      <c r="AI694" s="171"/>
      <c r="AJ694" s="171">
        <v>0</v>
      </c>
      <c r="AK694" s="171"/>
      <c r="AL694" s="171"/>
      <c r="AM694" s="171"/>
      <c r="AN694" s="90"/>
      <c r="AO694" s="193"/>
      <c r="AP694" s="193" t="e">
        <f t="shared" ca="1" si="442"/>
        <v>#NAME?</v>
      </c>
      <c r="AQ694" s="200">
        <f>AQ695</f>
        <v>0</v>
      </c>
      <c r="AR694" s="204"/>
      <c r="AS694" s="204"/>
      <c r="AT694" s="204"/>
      <c r="AU694" s="204"/>
      <c r="AV694" s="204"/>
    </row>
    <row r="695" spans="1:48" ht="12" customHeight="1">
      <c r="A695" s="301"/>
      <c r="B695" s="301"/>
      <c r="C695" s="301"/>
      <c r="D695" s="301"/>
      <c r="E695" s="301"/>
      <c r="F695" s="301"/>
      <c r="G695" s="301"/>
      <c r="H695" s="307"/>
      <c r="I695" s="350"/>
      <c r="J695" s="302">
        <v>38</v>
      </c>
      <c r="K695" s="343" t="s">
        <v>285</v>
      </c>
      <c r="L695" s="112">
        <f t="shared" si="460"/>
        <v>0</v>
      </c>
      <c r="M695" s="112">
        <f t="shared" si="460"/>
        <v>0</v>
      </c>
      <c r="N695" s="113">
        <f t="shared" si="460"/>
        <v>0</v>
      </c>
      <c r="O695" s="113">
        <f t="shared" si="460"/>
        <v>0</v>
      </c>
      <c r="P695" s="114">
        <f t="shared" si="460"/>
        <v>0</v>
      </c>
      <c r="Q695" s="114">
        <f t="shared" si="460"/>
        <v>0</v>
      </c>
      <c r="R695" s="88">
        <f t="shared" si="460"/>
        <v>0</v>
      </c>
      <c r="S695" s="90" t="e">
        <f t="shared" ca="1" si="460"/>
        <v>#NAME?</v>
      </c>
      <c r="T695" s="90"/>
      <c r="U695" s="90"/>
      <c r="V695" s="200">
        <f>V696</f>
        <v>0</v>
      </c>
      <c r="W695" s="200">
        <f t="shared" si="460"/>
        <v>0</v>
      </c>
      <c r="X695" s="88">
        <f t="shared" si="460"/>
        <v>0</v>
      </c>
      <c r="Y695" s="171">
        <f t="shared" si="460"/>
        <v>0</v>
      </c>
      <c r="Z695" s="171">
        <f t="shared" si="460"/>
        <v>0</v>
      </c>
      <c r="AA695" s="370" t="e">
        <f t="shared" ca="1" si="443"/>
        <v>#NAME?</v>
      </c>
      <c r="AB695" s="171"/>
      <c r="AC695" s="172">
        <f t="shared" si="460"/>
        <v>0</v>
      </c>
      <c r="AD695" s="172">
        <f t="shared" si="460"/>
        <v>0</v>
      </c>
      <c r="AE695" s="178"/>
      <c r="AF695" s="178"/>
      <c r="AG695" s="178"/>
      <c r="AH695" s="178"/>
      <c r="AI695" s="171"/>
      <c r="AJ695" s="171">
        <v>0</v>
      </c>
      <c r="AK695" s="171"/>
      <c r="AL695" s="171"/>
      <c r="AM695" s="171"/>
      <c r="AN695" s="90"/>
      <c r="AO695" s="193"/>
      <c r="AP695" s="193" t="e">
        <f t="shared" ca="1" si="442"/>
        <v>#NAME?</v>
      </c>
      <c r="AQ695" s="200">
        <f>AQ696</f>
        <v>0</v>
      </c>
      <c r="AR695" s="204"/>
      <c r="AS695" s="204"/>
      <c r="AT695" s="204"/>
      <c r="AU695" s="204"/>
      <c r="AV695" s="204"/>
    </row>
    <row r="696" spans="1:48" ht="12" customHeight="1">
      <c r="A696" s="62"/>
      <c r="B696" s="62"/>
      <c r="C696" s="62"/>
      <c r="D696" s="62"/>
      <c r="E696" s="62"/>
      <c r="F696" s="62"/>
      <c r="G696" s="62"/>
      <c r="H696" s="304"/>
      <c r="I696" s="464"/>
      <c r="J696" s="303">
        <v>382</v>
      </c>
      <c r="K696" s="19" t="s">
        <v>534</v>
      </c>
      <c r="L696" s="112">
        <f t="shared" si="460"/>
        <v>0</v>
      </c>
      <c r="M696" s="112">
        <f t="shared" si="460"/>
        <v>0</v>
      </c>
      <c r="N696" s="113">
        <f t="shared" si="460"/>
        <v>0</v>
      </c>
      <c r="O696" s="113">
        <f t="shared" si="460"/>
        <v>0</v>
      </c>
      <c r="P696" s="114">
        <f t="shared" si="460"/>
        <v>0</v>
      </c>
      <c r="Q696" s="114">
        <f t="shared" si="460"/>
        <v>0</v>
      </c>
      <c r="R696" s="88">
        <f t="shared" si="460"/>
        <v>0</v>
      </c>
      <c r="S696" s="90" t="e">
        <f t="shared" ca="1" si="460"/>
        <v>#NAME?</v>
      </c>
      <c r="T696" s="90"/>
      <c r="U696" s="90"/>
      <c r="V696" s="200">
        <f>V697</f>
        <v>0</v>
      </c>
      <c r="W696" s="200">
        <f t="shared" si="460"/>
        <v>0</v>
      </c>
      <c r="X696" s="88">
        <f t="shared" si="460"/>
        <v>0</v>
      </c>
      <c r="Y696" s="171">
        <f t="shared" si="460"/>
        <v>0</v>
      </c>
      <c r="Z696" s="171">
        <f t="shared" si="460"/>
        <v>0</v>
      </c>
      <c r="AA696" s="370" t="e">
        <f t="shared" ca="1" si="443"/>
        <v>#NAME?</v>
      </c>
      <c r="AB696" s="171"/>
      <c r="AC696" s="172">
        <f>AC697</f>
        <v>0</v>
      </c>
      <c r="AD696" s="172">
        <f>AD697</f>
        <v>0</v>
      </c>
      <c r="AE696" s="178"/>
      <c r="AF696" s="178"/>
      <c r="AG696" s="178"/>
      <c r="AH696" s="178"/>
      <c r="AI696" s="171"/>
      <c r="AJ696" s="171">
        <v>0</v>
      </c>
      <c r="AK696" s="171"/>
      <c r="AL696" s="171"/>
      <c r="AM696" s="171"/>
      <c r="AN696" s="90"/>
      <c r="AO696" s="193"/>
      <c r="AP696" s="193" t="e">
        <f t="shared" ca="1" si="442"/>
        <v>#NAME?</v>
      </c>
      <c r="AQ696" s="200">
        <f>AQ697</f>
        <v>0</v>
      </c>
      <c r="AR696" s="204"/>
      <c r="AS696" s="204"/>
      <c r="AT696" s="204"/>
      <c r="AU696" s="204"/>
      <c r="AV696" s="204"/>
    </row>
    <row r="697" spans="1:48" ht="12" customHeight="1">
      <c r="A697" s="53"/>
      <c r="B697" s="53"/>
      <c r="C697" s="53"/>
      <c r="D697" s="53"/>
      <c r="E697" s="53"/>
      <c r="F697" s="53"/>
      <c r="G697" s="53"/>
      <c r="H697" s="1" t="s">
        <v>586</v>
      </c>
      <c r="I697" s="397">
        <v>640</v>
      </c>
      <c r="J697" s="229">
        <v>3822</v>
      </c>
      <c r="K697" s="18" t="s">
        <v>587</v>
      </c>
      <c r="L697" s="130">
        <v>0</v>
      </c>
      <c r="M697" s="130">
        <v>0</v>
      </c>
      <c r="N697" s="131">
        <v>0</v>
      </c>
      <c r="O697" s="131">
        <v>0</v>
      </c>
      <c r="P697" s="132">
        <v>0</v>
      </c>
      <c r="Q697" s="132">
        <v>0</v>
      </c>
      <c r="R697" s="159">
        <v>0</v>
      </c>
      <c r="S697" s="165" t="e">
        <f ca="1">__xlfn.XLOOKUP(H697,[1]Izvršenje_proračuna_po_pozicija!$B$2:$B$153,[1]Izvršenje_proračuna_po_pozicija!$E$2:$E$153,0)</f>
        <v>#NAME?</v>
      </c>
      <c r="T697" s="165"/>
      <c r="U697" s="165"/>
      <c r="V697" s="200"/>
      <c r="W697" s="200"/>
      <c r="X697" s="164"/>
      <c r="Y697" s="378"/>
      <c r="Z697" s="378"/>
      <c r="AA697" s="370" t="e">
        <f t="shared" ca="1" si="443"/>
        <v>#NAME?</v>
      </c>
      <c r="AB697" s="183"/>
      <c r="AC697" s="178">
        <v>0</v>
      </c>
      <c r="AD697" s="178">
        <v>0</v>
      </c>
      <c r="AE697" s="178"/>
      <c r="AF697" s="178"/>
      <c r="AG697" s="178"/>
      <c r="AH697" s="178"/>
      <c r="AI697" s="183"/>
      <c r="AJ697" s="378"/>
      <c r="AK697" s="171"/>
      <c r="AL697" s="171"/>
      <c r="AM697" s="171"/>
      <c r="AN697" s="165"/>
      <c r="AO697" s="193"/>
      <c r="AP697" s="193" t="e">
        <f t="shared" ca="1" si="442"/>
        <v>#NAME?</v>
      </c>
      <c r="AQ697" s="200"/>
      <c r="AR697" s="204"/>
      <c r="AS697" s="204"/>
      <c r="AT697" s="204"/>
      <c r="AU697" s="204"/>
      <c r="AV697" s="204"/>
    </row>
    <row r="698" spans="1:48" ht="12" customHeight="1">
      <c r="A698" s="53"/>
      <c r="B698" s="53"/>
      <c r="C698" s="53"/>
      <c r="D698" s="53"/>
      <c r="E698" s="53"/>
      <c r="F698" s="53"/>
      <c r="G698" s="53"/>
      <c r="H698" s="1"/>
      <c r="I698" s="397"/>
      <c r="J698" s="229"/>
      <c r="K698" s="279"/>
      <c r="L698" s="130"/>
      <c r="M698" s="130"/>
      <c r="N698" s="131"/>
      <c r="O698" s="131"/>
      <c r="P698" s="132"/>
      <c r="Q698" s="132"/>
      <c r="R698" s="159"/>
      <c r="S698" s="165" t="e">
        <f ca="1">__xlfn.XLOOKUP(H698,[1]Izvršenje_proračuna_po_pozicija!$B$2:$B$153,[1]Izvršenje_proračuna_po_pozicija!$E$2:$E$153,0)</f>
        <v>#NAME?</v>
      </c>
      <c r="T698" s="165"/>
      <c r="U698" s="165"/>
      <c r="V698" s="200"/>
      <c r="W698" s="200"/>
      <c r="X698" s="164"/>
      <c r="Y698" s="378"/>
      <c r="Z698" s="378"/>
      <c r="AA698" s="370" t="e">
        <f t="shared" ca="1" si="443"/>
        <v>#NAME?</v>
      </c>
      <c r="AB698" s="183"/>
      <c r="AC698" s="178"/>
      <c r="AD698" s="178"/>
      <c r="AE698" s="178"/>
      <c r="AF698" s="178"/>
      <c r="AG698" s="178"/>
      <c r="AH698" s="178"/>
      <c r="AI698" s="183"/>
      <c r="AJ698" s="378"/>
      <c r="AK698" s="171"/>
      <c r="AL698" s="171"/>
      <c r="AM698" s="171"/>
      <c r="AN698" s="165"/>
      <c r="AO698" s="193"/>
      <c r="AP698" s="193" t="e">
        <f t="shared" ca="1" si="442"/>
        <v>#NAME?</v>
      </c>
      <c r="AQ698" s="200"/>
      <c r="AR698" s="204"/>
      <c r="AS698" s="204"/>
      <c r="AT698" s="204"/>
      <c r="AU698" s="204"/>
      <c r="AV698" s="204"/>
    </row>
    <row r="699" spans="1:48" ht="12" customHeight="1">
      <c r="A699" s="390" t="s">
        <v>588</v>
      </c>
      <c r="B699" s="391"/>
      <c r="C699" s="391"/>
      <c r="D699" s="391"/>
      <c r="E699" s="391"/>
      <c r="F699" s="391"/>
      <c r="G699" s="391"/>
      <c r="H699" s="392"/>
      <c r="I699" s="485" t="s">
        <v>589</v>
      </c>
      <c r="J699" s="486"/>
      <c r="K699" s="488"/>
      <c r="L699" s="112">
        <f t="shared" ref="L699:S699" si="461">L701</f>
        <v>0</v>
      </c>
      <c r="M699" s="112">
        <f t="shared" si="461"/>
        <v>0</v>
      </c>
      <c r="N699" s="113">
        <f t="shared" si="461"/>
        <v>0</v>
      </c>
      <c r="O699" s="113">
        <f t="shared" si="461"/>
        <v>0</v>
      </c>
      <c r="P699" s="114">
        <f t="shared" si="461"/>
        <v>0</v>
      </c>
      <c r="Q699" s="114">
        <f t="shared" si="461"/>
        <v>0</v>
      </c>
      <c r="R699" s="88">
        <f t="shared" si="461"/>
        <v>0</v>
      </c>
      <c r="S699" s="90" t="e">
        <f t="shared" ca="1" si="461"/>
        <v>#NAME?</v>
      </c>
      <c r="T699" s="90"/>
      <c r="U699" s="90"/>
      <c r="V699" s="200">
        <f>V701</f>
        <v>0</v>
      </c>
      <c r="W699" s="200">
        <f>W701</f>
        <v>0</v>
      </c>
      <c r="X699" s="88">
        <f>X701</f>
        <v>0</v>
      </c>
      <c r="Y699" s="171">
        <f>Y701</f>
        <v>0</v>
      </c>
      <c r="Z699" s="171">
        <f>Z701</f>
        <v>0</v>
      </c>
      <c r="AA699" s="370" t="e">
        <f t="shared" ca="1" si="443"/>
        <v>#NAME?</v>
      </c>
      <c r="AB699" s="171"/>
      <c r="AC699" s="172">
        <f>AC701</f>
        <v>0</v>
      </c>
      <c r="AD699" s="172">
        <f>AD701</f>
        <v>0</v>
      </c>
      <c r="AE699" s="178"/>
      <c r="AF699" s="178"/>
      <c r="AG699" s="178"/>
      <c r="AH699" s="178"/>
      <c r="AI699" s="171"/>
      <c r="AJ699" s="171">
        <v>0</v>
      </c>
      <c r="AK699" s="171"/>
      <c r="AL699" s="171"/>
      <c r="AM699" s="171"/>
      <c r="AN699" s="90"/>
      <c r="AO699" s="193"/>
      <c r="AP699" s="193" t="e">
        <f t="shared" ca="1" si="442"/>
        <v>#NAME?</v>
      </c>
      <c r="AQ699" s="200">
        <f>AQ701</f>
        <v>0</v>
      </c>
      <c r="AR699" s="204"/>
      <c r="AS699" s="204"/>
      <c r="AT699" s="204"/>
      <c r="AU699" s="204"/>
      <c r="AV699" s="204"/>
    </row>
    <row r="700" spans="1:48" ht="12" customHeight="1">
      <c r="A700" s="42"/>
      <c r="B700" s="42"/>
      <c r="C700" s="42"/>
      <c r="D700" s="42"/>
      <c r="E700" s="42"/>
      <c r="F700" s="42"/>
      <c r="G700" s="42"/>
      <c r="H700" s="308"/>
      <c r="I700" s="14"/>
      <c r="J700" s="2"/>
      <c r="K700" s="84"/>
      <c r="L700" s="85">
        <v>1</v>
      </c>
      <c r="M700" s="85">
        <v>2</v>
      </c>
      <c r="N700" s="86">
        <v>3</v>
      </c>
      <c r="O700" s="86">
        <v>4</v>
      </c>
      <c r="P700" s="87">
        <v>5</v>
      </c>
      <c r="Q700" s="87">
        <v>6</v>
      </c>
      <c r="R700" s="160"/>
      <c r="S700" s="165" t="e">
        <f ca="1">__xlfn.XLOOKUP(H700,[1]Izvršenje_proračuna_po_pozicija!$B$2:$B$153,[1]Izvršenje_proračuna_po_pozicija!$E$2:$E$153,0)</f>
        <v>#NAME?</v>
      </c>
      <c r="T700" s="165"/>
      <c r="U700" s="165"/>
      <c r="V700" s="200"/>
      <c r="W700" s="200"/>
      <c r="X700" s="361"/>
      <c r="Y700" s="373"/>
      <c r="Z700" s="373"/>
      <c r="AA700" s="370" t="e">
        <f t="shared" ca="1" si="443"/>
        <v>#NAME?</v>
      </c>
      <c r="AB700" s="181"/>
      <c r="AC700" s="182">
        <v>7</v>
      </c>
      <c r="AD700" s="182">
        <v>8</v>
      </c>
      <c r="AE700" s="182">
        <v>9</v>
      </c>
      <c r="AF700" s="182">
        <v>10</v>
      </c>
      <c r="AG700" s="182">
        <v>11</v>
      </c>
      <c r="AH700" s="182">
        <v>12</v>
      </c>
      <c r="AI700" s="181"/>
      <c r="AJ700" s="373"/>
      <c r="AK700" s="171"/>
      <c r="AL700" s="171"/>
      <c r="AM700" s="171"/>
      <c r="AN700" s="161"/>
      <c r="AO700" s="193"/>
      <c r="AP700" s="193" t="e">
        <f t="shared" ca="1" si="442"/>
        <v>#NAME?</v>
      </c>
      <c r="AQ700" s="200"/>
      <c r="AR700" s="204"/>
      <c r="AS700" s="204"/>
      <c r="AT700" s="204"/>
      <c r="AU700" s="204"/>
      <c r="AV700" s="204"/>
    </row>
    <row r="701" spans="1:48" ht="12" customHeight="1">
      <c r="A701" s="24"/>
      <c r="B701" s="24"/>
      <c r="C701" s="24"/>
      <c r="D701" s="24"/>
      <c r="E701" s="24"/>
      <c r="F701" s="24"/>
      <c r="G701" s="24"/>
      <c r="H701" s="393"/>
      <c r="I701" s="465"/>
      <c r="J701" s="281">
        <v>4</v>
      </c>
      <c r="K701" s="2" t="s">
        <v>590</v>
      </c>
      <c r="L701" s="112">
        <f t="shared" ref="L701:AD703" si="462">L702</f>
        <v>0</v>
      </c>
      <c r="M701" s="112">
        <f t="shared" si="462"/>
        <v>0</v>
      </c>
      <c r="N701" s="113">
        <f t="shared" si="462"/>
        <v>0</v>
      </c>
      <c r="O701" s="113">
        <f t="shared" si="462"/>
        <v>0</v>
      </c>
      <c r="P701" s="114">
        <f t="shared" si="462"/>
        <v>0</v>
      </c>
      <c r="Q701" s="114">
        <f t="shared" si="462"/>
        <v>0</v>
      </c>
      <c r="R701" s="88">
        <f t="shared" si="462"/>
        <v>0</v>
      </c>
      <c r="S701" s="90" t="e">
        <f t="shared" ca="1" si="462"/>
        <v>#NAME?</v>
      </c>
      <c r="T701" s="90"/>
      <c r="U701" s="90"/>
      <c r="V701" s="200">
        <f>V702</f>
        <v>0</v>
      </c>
      <c r="W701" s="200">
        <f t="shared" si="462"/>
        <v>0</v>
      </c>
      <c r="X701" s="88">
        <f t="shared" si="462"/>
        <v>0</v>
      </c>
      <c r="Y701" s="171">
        <f t="shared" si="462"/>
        <v>0</v>
      </c>
      <c r="Z701" s="171">
        <f t="shared" si="462"/>
        <v>0</v>
      </c>
      <c r="AA701" s="370" t="e">
        <f t="shared" ca="1" si="443"/>
        <v>#NAME?</v>
      </c>
      <c r="AB701" s="171"/>
      <c r="AC701" s="172">
        <f t="shared" si="462"/>
        <v>0</v>
      </c>
      <c r="AD701" s="172">
        <f t="shared" si="462"/>
        <v>0</v>
      </c>
      <c r="AE701" s="178"/>
      <c r="AF701" s="178"/>
      <c r="AG701" s="178"/>
      <c r="AH701" s="178"/>
      <c r="AI701" s="171"/>
      <c r="AJ701" s="171">
        <v>0</v>
      </c>
      <c r="AK701" s="171"/>
      <c r="AL701" s="171"/>
      <c r="AM701" s="171"/>
      <c r="AN701" s="90"/>
      <c r="AO701" s="193"/>
      <c r="AP701" s="193" t="e">
        <f t="shared" ca="1" si="442"/>
        <v>#NAME?</v>
      </c>
      <c r="AQ701" s="200">
        <f>AQ702</f>
        <v>0</v>
      </c>
      <c r="AR701" s="204"/>
      <c r="AS701" s="204"/>
      <c r="AT701" s="204"/>
      <c r="AU701" s="204"/>
      <c r="AV701" s="204"/>
    </row>
    <row r="702" spans="1:48" ht="12" customHeight="1">
      <c r="A702" s="301"/>
      <c r="B702" s="301"/>
      <c r="C702" s="301"/>
      <c r="D702" s="301"/>
      <c r="E702" s="301"/>
      <c r="F702" s="301"/>
      <c r="G702" s="301"/>
      <c r="H702" s="307"/>
      <c r="I702" s="350"/>
      <c r="J702" s="302">
        <v>42</v>
      </c>
      <c r="K702" s="343" t="s">
        <v>591</v>
      </c>
      <c r="L702" s="112">
        <f t="shared" si="462"/>
        <v>0</v>
      </c>
      <c r="M702" s="112">
        <f t="shared" si="462"/>
        <v>0</v>
      </c>
      <c r="N702" s="113">
        <f t="shared" si="462"/>
        <v>0</v>
      </c>
      <c r="O702" s="113">
        <f t="shared" si="462"/>
        <v>0</v>
      </c>
      <c r="P702" s="114">
        <f t="shared" si="462"/>
        <v>0</v>
      </c>
      <c r="Q702" s="114">
        <f t="shared" si="462"/>
        <v>0</v>
      </c>
      <c r="R702" s="88">
        <f t="shared" si="462"/>
        <v>0</v>
      </c>
      <c r="S702" s="90" t="e">
        <f t="shared" ca="1" si="462"/>
        <v>#NAME?</v>
      </c>
      <c r="T702" s="90"/>
      <c r="U702" s="90"/>
      <c r="V702" s="200">
        <f>V703</f>
        <v>0</v>
      </c>
      <c r="W702" s="200">
        <f t="shared" si="462"/>
        <v>0</v>
      </c>
      <c r="X702" s="88">
        <f t="shared" si="462"/>
        <v>0</v>
      </c>
      <c r="Y702" s="171">
        <f t="shared" si="462"/>
        <v>0</v>
      </c>
      <c r="Z702" s="171">
        <f t="shared" si="462"/>
        <v>0</v>
      </c>
      <c r="AA702" s="370" t="e">
        <f t="shared" ca="1" si="443"/>
        <v>#NAME?</v>
      </c>
      <c r="AB702" s="171"/>
      <c r="AC702" s="172">
        <f t="shared" si="462"/>
        <v>0</v>
      </c>
      <c r="AD702" s="172">
        <f t="shared" si="462"/>
        <v>0</v>
      </c>
      <c r="AE702" s="178"/>
      <c r="AF702" s="178"/>
      <c r="AG702" s="178"/>
      <c r="AH702" s="178"/>
      <c r="AI702" s="171"/>
      <c r="AJ702" s="171">
        <v>0</v>
      </c>
      <c r="AK702" s="171"/>
      <c r="AL702" s="171"/>
      <c r="AM702" s="171"/>
      <c r="AN702" s="90"/>
      <c r="AO702" s="193"/>
      <c r="AP702" s="193" t="e">
        <f t="shared" ca="1" si="442"/>
        <v>#NAME?</v>
      </c>
      <c r="AQ702" s="200">
        <f>AQ703</f>
        <v>0</v>
      </c>
      <c r="AR702" s="204"/>
      <c r="AS702" s="204"/>
      <c r="AT702" s="204"/>
      <c r="AU702" s="204"/>
      <c r="AV702" s="204"/>
    </row>
    <row r="703" spans="1:48" ht="12" customHeight="1">
      <c r="A703" s="62"/>
      <c r="B703" s="62"/>
      <c r="C703" s="62"/>
      <c r="D703" s="62"/>
      <c r="E703" s="62"/>
      <c r="F703" s="62"/>
      <c r="G703" s="62"/>
      <c r="H703" s="304"/>
      <c r="I703" s="464"/>
      <c r="J703" s="303">
        <v>422</v>
      </c>
      <c r="K703" s="19" t="s">
        <v>419</v>
      </c>
      <c r="L703" s="112">
        <f t="shared" si="462"/>
        <v>0</v>
      </c>
      <c r="M703" s="112">
        <f t="shared" si="462"/>
        <v>0</v>
      </c>
      <c r="N703" s="113">
        <f t="shared" si="462"/>
        <v>0</v>
      </c>
      <c r="O703" s="113">
        <f t="shared" si="462"/>
        <v>0</v>
      </c>
      <c r="P703" s="114">
        <f t="shared" si="462"/>
        <v>0</v>
      </c>
      <c r="Q703" s="114">
        <f t="shared" si="462"/>
        <v>0</v>
      </c>
      <c r="R703" s="88">
        <f t="shared" si="462"/>
        <v>0</v>
      </c>
      <c r="S703" s="90" t="e">
        <f t="shared" ca="1" si="462"/>
        <v>#NAME?</v>
      </c>
      <c r="T703" s="90"/>
      <c r="U703" s="90"/>
      <c r="V703" s="200">
        <f>V704</f>
        <v>0</v>
      </c>
      <c r="W703" s="200">
        <f t="shared" si="462"/>
        <v>0</v>
      </c>
      <c r="X703" s="88">
        <f t="shared" si="462"/>
        <v>0</v>
      </c>
      <c r="Y703" s="171">
        <f t="shared" si="462"/>
        <v>0</v>
      </c>
      <c r="Z703" s="171">
        <f t="shared" si="462"/>
        <v>0</v>
      </c>
      <c r="AA703" s="370" t="e">
        <f t="shared" ca="1" si="443"/>
        <v>#NAME?</v>
      </c>
      <c r="AB703" s="171"/>
      <c r="AC703" s="172">
        <f t="shared" si="462"/>
        <v>0</v>
      </c>
      <c r="AD703" s="172">
        <f t="shared" si="462"/>
        <v>0</v>
      </c>
      <c r="AE703" s="178"/>
      <c r="AF703" s="178"/>
      <c r="AG703" s="178"/>
      <c r="AH703" s="178"/>
      <c r="AI703" s="171"/>
      <c r="AJ703" s="171">
        <v>0</v>
      </c>
      <c r="AK703" s="171"/>
      <c r="AL703" s="171"/>
      <c r="AM703" s="171"/>
      <c r="AN703" s="90"/>
      <c r="AO703" s="193"/>
      <c r="AP703" s="193" t="e">
        <f t="shared" ca="1" si="442"/>
        <v>#NAME?</v>
      </c>
      <c r="AQ703" s="200">
        <f>AQ704</f>
        <v>0</v>
      </c>
      <c r="AR703" s="204"/>
      <c r="AS703" s="204"/>
      <c r="AT703" s="204"/>
      <c r="AU703" s="204"/>
      <c r="AV703" s="204"/>
    </row>
    <row r="704" spans="1:48" ht="12" customHeight="1">
      <c r="A704" s="53"/>
      <c r="B704" s="53"/>
      <c r="C704" s="53"/>
      <c r="D704" s="53"/>
      <c r="E704" s="53"/>
      <c r="F704" s="53"/>
      <c r="G704" s="53"/>
      <c r="H704" s="1" t="s">
        <v>592</v>
      </c>
      <c r="I704" s="397">
        <v>640</v>
      </c>
      <c r="J704" s="229">
        <v>4227</v>
      </c>
      <c r="K704" s="18" t="s">
        <v>593</v>
      </c>
      <c r="L704" s="130">
        <v>0</v>
      </c>
      <c r="M704" s="130">
        <v>0</v>
      </c>
      <c r="N704" s="131">
        <v>0</v>
      </c>
      <c r="O704" s="131">
        <v>0</v>
      </c>
      <c r="P704" s="132">
        <v>0</v>
      </c>
      <c r="Q704" s="132">
        <v>0</v>
      </c>
      <c r="R704" s="159">
        <v>0</v>
      </c>
      <c r="S704" s="165" t="e">
        <f ca="1">__xlfn.XLOOKUP(H704,[1]Izvršenje_proračuna_po_pozicija!$B$2:$B$153,[1]Izvršenje_proračuna_po_pozicija!$E$2:$E$153,0)</f>
        <v>#NAME?</v>
      </c>
      <c r="T704" s="165"/>
      <c r="U704" s="165"/>
      <c r="V704" s="200"/>
      <c r="W704" s="200"/>
      <c r="X704" s="164"/>
      <c r="Y704" s="378"/>
      <c r="Z704" s="378"/>
      <c r="AA704" s="370" t="e">
        <f t="shared" ca="1" si="443"/>
        <v>#NAME?</v>
      </c>
      <c r="AB704" s="183"/>
      <c r="AC704" s="178">
        <v>0</v>
      </c>
      <c r="AD704" s="178">
        <v>0</v>
      </c>
      <c r="AE704" s="178"/>
      <c r="AF704" s="178"/>
      <c r="AG704" s="178"/>
      <c r="AH704" s="178"/>
      <c r="AI704" s="183"/>
      <c r="AJ704" s="378"/>
      <c r="AK704" s="171"/>
      <c r="AL704" s="171"/>
      <c r="AM704" s="171"/>
      <c r="AN704" s="165"/>
      <c r="AO704" s="193"/>
      <c r="AP704" s="193" t="e">
        <f t="shared" ca="1" si="442"/>
        <v>#NAME?</v>
      </c>
      <c r="AQ704" s="200"/>
      <c r="AR704" s="204"/>
      <c r="AS704" s="204"/>
      <c r="AT704" s="204"/>
      <c r="AU704" s="204"/>
      <c r="AV704" s="204"/>
    </row>
    <row r="705" spans="1:48" ht="12" customHeight="1">
      <c r="A705" s="53"/>
      <c r="B705" s="53"/>
      <c r="C705" s="53"/>
      <c r="D705" s="53"/>
      <c r="E705" s="53"/>
      <c r="F705" s="53"/>
      <c r="G705" s="53"/>
      <c r="H705" s="1"/>
      <c r="I705" s="397"/>
      <c r="J705" s="229"/>
      <c r="K705" s="18"/>
      <c r="L705" s="413"/>
      <c r="M705" s="413"/>
      <c r="N705" s="414"/>
      <c r="O705" s="414"/>
      <c r="P705" s="415"/>
      <c r="Q705" s="415"/>
      <c r="R705" s="421"/>
      <c r="S705" s="165" t="e">
        <f ca="1">__xlfn.XLOOKUP(H705,[1]Izvršenje_proračuna_po_pozicija!$B$2:$B$153,[1]Izvršenje_proračuna_po_pozicija!$E$2:$E$153,0)</f>
        <v>#NAME?</v>
      </c>
      <c r="T705" s="419"/>
      <c r="U705" s="419"/>
      <c r="V705" s="200"/>
      <c r="W705" s="200"/>
      <c r="X705" s="422"/>
      <c r="Y705" s="429"/>
      <c r="Z705" s="429"/>
      <c r="AA705" s="370" t="e">
        <f t="shared" ca="1" si="443"/>
        <v>#NAME?</v>
      </c>
      <c r="AB705" s="430"/>
      <c r="AC705" s="431"/>
      <c r="AD705" s="431"/>
      <c r="AE705" s="178"/>
      <c r="AF705" s="178"/>
      <c r="AG705" s="178"/>
      <c r="AH705" s="178"/>
      <c r="AI705" s="430"/>
      <c r="AJ705" s="429"/>
      <c r="AK705" s="171"/>
      <c r="AL705" s="171"/>
      <c r="AM705" s="171"/>
      <c r="AN705" s="419"/>
      <c r="AO705" s="193"/>
      <c r="AP705" s="193" t="e">
        <f t="shared" ca="1" si="442"/>
        <v>#NAME?</v>
      </c>
      <c r="AQ705" s="200"/>
      <c r="AR705" s="204"/>
      <c r="AS705" s="204"/>
      <c r="AT705" s="204"/>
      <c r="AU705" s="204"/>
      <c r="AV705" s="204"/>
    </row>
    <row r="706" spans="1:48" ht="12" customHeight="1">
      <c r="A706" s="390" t="s">
        <v>594</v>
      </c>
      <c r="B706" s="391"/>
      <c r="C706" s="391"/>
      <c r="D706" s="391"/>
      <c r="E706" s="391"/>
      <c r="F706" s="391"/>
      <c r="G706" s="391"/>
      <c r="H706" s="392"/>
      <c r="I706" s="485" t="s">
        <v>595</v>
      </c>
      <c r="J706" s="486"/>
      <c r="K706" s="300"/>
      <c r="L706" s="335">
        <f t="shared" ref="L706:S706" si="463">L708</f>
        <v>279798</v>
      </c>
      <c r="M706" s="335">
        <f t="shared" si="463"/>
        <v>37135.576348795541</v>
      </c>
      <c r="N706" s="336">
        <f t="shared" si="463"/>
        <v>196163</v>
      </c>
      <c r="O706" s="336">
        <f t="shared" si="463"/>
        <v>26035.304267038289</v>
      </c>
      <c r="P706" s="337">
        <f t="shared" si="463"/>
        <v>40000</v>
      </c>
      <c r="Q706" s="337">
        <f t="shared" si="463"/>
        <v>40000</v>
      </c>
      <c r="R706" s="359">
        <f t="shared" si="463"/>
        <v>38666</v>
      </c>
      <c r="S706" s="360" t="e">
        <f t="shared" ca="1" si="463"/>
        <v>#NAME?</v>
      </c>
      <c r="T706" s="360"/>
      <c r="U706" s="360"/>
      <c r="V706" s="200">
        <f>V708</f>
        <v>55000</v>
      </c>
      <c r="W706" s="200">
        <f>W708</f>
        <v>55000</v>
      </c>
      <c r="X706" s="359">
        <f>X708</f>
        <v>60000</v>
      </c>
      <c r="Y706" s="371">
        <f>Y708</f>
        <v>70000</v>
      </c>
      <c r="Z706" s="371">
        <f>Z708</f>
        <v>0</v>
      </c>
      <c r="AA706" s="370" t="e">
        <f t="shared" ca="1" si="443"/>
        <v>#NAME?</v>
      </c>
      <c r="AB706" s="371"/>
      <c r="AC706" s="372">
        <f>AC708</f>
        <v>40000</v>
      </c>
      <c r="AD706" s="372">
        <f>AD708</f>
        <v>40000</v>
      </c>
      <c r="AE706" s="178">
        <f>O706/M706*100</f>
        <v>70.108792771928321</v>
      </c>
      <c r="AF706" s="178">
        <f>P706/O706*100</f>
        <v>153.63753613066683</v>
      </c>
      <c r="AG706" s="178">
        <f>Q706/P706*100</f>
        <v>100</v>
      </c>
      <c r="AH706" s="178">
        <f>AC706/Q706*100</f>
        <v>100</v>
      </c>
      <c r="AI706" s="371"/>
      <c r="AJ706" s="371">
        <v>70000</v>
      </c>
      <c r="AK706" s="171">
        <f t="shared" si="445"/>
        <v>142.24383179020327</v>
      </c>
      <c r="AL706" s="171">
        <f>X706/W706*100</f>
        <v>109.09090909090908</v>
      </c>
      <c r="AM706" s="171">
        <f>Y706/X706*100</f>
        <v>116.66666666666667</v>
      </c>
      <c r="AN706" s="360"/>
      <c r="AO706" s="193"/>
      <c r="AP706" s="193" t="e">
        <f t="shared" ca="1" si="442"/>
        <v>#NAME?</v>
      </c>
      <c r="AQ706" s="200">
        <f>AQ708</f>
        <v>54980.73</v>
      </c>
      <c r="AR706" s="204">
        <f>V706/R706*100</f>
        <v>142.24383179020327</v>
      </c>
      <c r="AS706" s="204">
        <f>W706/V706*100</f>
        <v>100</v>
      </c>
      <c r="AT706" s="204">
        <f>W706/R706*100</f>
        <v>142.24383179020327</v>
      </c>
      <c r="AU706" s="204">
        <f>AQ706/W706*100</f>
        <v>99.964963636363649</v>
      </c>
      <c r="AV706" s="204">
        <f>AQ706/R706*100</f>
        <v>142.19399472404697</v>
      </c>
    </row>
    <row r="707" spans="1:48" ht="12" customHeight="1">
      <c r="A707" s="42"/>
      <c r="B707" s="42"/>
      <c r="C707" s="42"/>
      <c r="D707" s="42"/>
      <c r="E707" s="42"/>
      <c r="F707" s="42"/>
      <c r="G707" s="42"/>
      <c r="H707" s="308"/>
      <c r="I707" s="14"/>
      <c r="J707" s="2"/>
      <c r="K707" s="281"/>
      <c r="L707" s="85"/>
      <c r="M707" s="85"/>
      <c r="N707" s="86"/>
      <c r="O707" s="86"/>
      <c r="P707" s="87"/>
      <c r="Q707" s="87"/>
      <c r="R707" s="160"/>
      <c r="S707" s="165" t="e">
        <f ca="1">__xlfn.XLOOKUP(H707,[1]Izvršenje_proračuna_po_pozicija!$B$2:$B$153,[1]Izvršenje_proračuna_po_pozicija!$E$2:$E$153,0)</f>
        <v>#NAME?</v>
      </c>
      <c r="T707" s="165"/>
      <c r="U707" s="165"/>
      <c r="V707" s="200"/>
      <c r="W707" s="200"/>
      <c r="X707" s="361"/>
      <c r="Y707" s="373"/>
      <c r="Z707" s="373"/>
      <c r="AA707" s="370" t="e">
        <f t="shared" ca="1" si="443"/>
        <v>#NAME?</v>
      </c>
      <c r="AB707" s="181"/>
      <c r="AC707" s="182"/>
      <c r="AD707" s="182"/>
      <c r="AE707" s="178"/>
      <c r="AF707" s="178"/>
      <c r="AG707" s="178"/>
      <c r="AH707" s="178"/>
      <c r="AI707" s="181"/>
      <c r="AJ707" s="373"/>
      <c r="AK707" s="171"/>
      <c r="AL707" s="171"/>
      <c r="AM707" s="171"/>
      <c r="AN707" s="161"/>
      <c r="AO707" s="193"/>
      <c r="AP707" s="193" t="e">
        <f t="shared" ca="1" si="442"/>
        <v>#NAME?</v>
      </c>
      <c r="AQ707" s="200"/>
      <c r="AR707" s="204"/>
      <c r="AS707" s="204"/>
      <c r="AT707" s="204"/>
      <c r="AU707" s="204"/>
      <c r="AV707" s="204"/>
    </row>
    <row r="708" spans="1:48" ht="12" customHeight="1">
      <c r="A708" s="24"/>
      <c r="B708" s="24"/>
      <c r="C708" s="24"/>
      <c r="D708" s="24"/>
      <c r="E708" s="24"/>
      <c r="F708" s="24"/>
      <c r="G708" s="24"/>
      <c r="H708" s="393"/>
      <c r="I708" s="465"/>
      <c r="J708" s="281">
        <v>3</v>
      </c>
      <c r="K708" s="2" t="s">
        <v>224</v>
      </c>
      <c r="L708" s="112">
        <f t="shared" ref="L708:AD710" si="464">L709</f>
        <v>279798</v>
      </c>
      <c r="M708" s="112">
        <f t="shared" si="464"/>
        <v>37135.576348795541</v>
      </c>
      <c r="N708" s="113">
        <f t="shared" si="464"/>
        <v>196163</v>
      </c>
      <c r="O708" s="113">
        <f t="shared" si="464"/>
        <v>26035.304267038289</v>
      </c>
      <c r="P708" s="114">
        <f t="shared" si="464"/>
        <v>40000</v>
      </c>
      <c r="Q708" s="114">
        <f t="shared" si="464"/>
        <v>40000</v>
      </c>
      <c r="R708" s="88">
        <f t="shared" si="464"/>
        <v>38666</v>
      </c>
      <c r="S708" s="90" t="e">
        <f t="shared" ca="1" si="464"/>
        <v>#NAME?</v>
      </c>
      <c r="T708" s="90"/>
      <c r="U708" s="90"/>
      <c r="V708" s="200">
        <f>V709</f>
        <v>55000</v>
      </c>
      <c r="W708" s="200">
        <f t="shared" si="464"/>
        <v>55000</v>
      </c>
      <c r="X708" s="88">
        <f t="shared" si="464"/>
        <v>60000</v>
      </c>
      <c r="Y708" s="171">
        <f t="shared" si="464"/>
        <v>70000</v>
      </c>
      <c r="Z708" s="171">
        <f t="shared" si="464"/>
        <v>0</v>
      </c>
      <c r="AA708" s="370" t="e">
        <f t="shared" ca="1" si="443"/>
        <v>#NAME?</v>
      </c>
      <c r="AB708" s="171"/>
      <c r="AC708" s="172">
        <f t="shared" si="464"/>
        <v>40000</v>
      </c>
      <c r="AD708" s="172">
        <f t="shared" si="464"/>
        <v>40000</v>
      </c>
      <c r="AE708" s="178">
        <f>O708/M708*100</f>
        <v>70.108792771928321</v>
      </c>
      <c r="AF708" s="178">
        <f t="shared" ref="AF708:AG711" si="465">P708/O708*100</f>
        <v>153.63753613066683</v>
      </c>
      <c r="AG708" s="178">
        <f t="shared" si="465"/>
        <v>100</v>
      </c>
      <c r="AH708" s="178">
        <f>AC708/Q708*100</f>
        <v>100</v>
      </c>
      <c r="AI708" s="171"/>
      <c r="AJ708" s="171">
        <v>70000</v>
      </c>
      <c r="AK708" s="171">
        <f t="shared" si="445"/>
        <v>142.24383179020327</v>
      </c>
      <c r="AL708" s="171">
        <f t="shared" ref="AL708:AM711" si="466">X708/W708*100</f>
        <v>109.09090909090908</v>
      </c>
      <c r="AM708" s="171">
        <f t="shared" si="466"/>
        <v>116.66666666666667</v>
      </c>
      <c r="AN708" s="90"/>
      <c r="AO708" s="193"/>
      <c r="AP708" s="193" t="e">
        <f t="shared" ca="1" si="442"/>
        <v>#NAME?</v>
      </c>
      <c r="AQ708" s="200">
        <f>AQ709</f>
        <v>54980.73</v>
      </c>
      <c r="AR708" s="204">
        <f>V708/R708*100</f>
        <v>142.24383179020327</v>
      </c>
      <c r="AS708" s="204">
        <f>W708/V708*100</f>
        <v>100</v>
      </c>
      <c r="AT708" s="204">
        <f>W708/R708*100</f>
        <v>142.24383179020327</v>
      </c>
      <c r="AU708" s="204">
        <f>AQ708/W708*100</f>
        <v>99.964963636363649</v>
      </c>
      <c r="AV708" s="204">
        <f>AQ708/R708*100</f>
        <v>142.19399472404697</v>
      </c>
    </row>
    <row r="709" spans="1:48" ht="12" customHeight="1">
      <c r="A709" s="301"/>
      <c r="B709" s="301"/>
      <c r="C709" s="301"/>
      <c r="D709" s="301"/>
      <c r="E709" s="301"/>
      <c r="F709" s="301"/>
      <c r="G709" s="301"/>
      <c r="H709" s="307"/>
      <c r="I709" s="350"/>
      <c r="J709" s="302">
        <v>32</v>
      </c>
      <c r="K709" s="343" t="s">
        <v>233</v>
      </c>
      <c r="L709" s="112">
        <f t="shared" si="464"/>
        <v>279798</v>
      </c>
      <c r="M709" s="112">
        <f t="shared" si="464"/>
        <v>37135.576348795541</v>
      </c>
      <c r="N709" s="113">
        <f t="shared" si="464"/>
        <v>196163</v>
      </c>
      <c r="O709" s="113">
        <f t="shared" si="464"/>
        <v>26035.304267038289</v>
      </c>
      <c r="P709" s="114">
        <f t="shared" si="464"/>
        <v>40000</v>
      </c>
      <c r="Q709" s="114">
        <f t="shared" si="464"/>
        <v>40000</v>
      </c>
      <c r="R709" s="88">
        <f t="shared" si="464"/>
        <v>38666</v>
      </c>
      <c r="S709" s="90" t="e">
        <f t="shared" ca="1" si="464"/>
        <v>#NAME?</v>
      </c>
      <c r="T709" s="90"/>
      <c r="U709" s="90"/>
      <c r="V709" s="200">
        <f>V710</f>
        <v>55000</v>
      </c>
      <c r="W709" s="200">
        <f t="shared" si="464"/>
        <v>55000</v>
      </c>
      <c r="X709" s="88">
        <f t="shared" si="464"/>
        <v>60000</v>
      </c>
      <c r="Y709" s="171">
        <f t="shared" si="464"/>
        <v>70000</v>
      </c>
      <c r="Z709" s="171">
        <f t="shared" si="464"/>
        <v>0</v>
      </c>
      <c r="AA709" s="370" t="e">
        <f t="shared" ca="1" si="443"/>
        <v>#NAME?</v>
      </c>
      <c r="AB709" s="171"/>
      <c r="AC709" s="172">
        <f t="shared" si="464"/>
        <v>40000</v>
      </c>
      <c r="AD709" s="172">
        <f t="shared" si="464"/>
        <v>40000</v>
      </c>
      <c r="AE709" s="178">
        <f>O709/M709*100</f>
        <v>70.108792771928321</v>
      </c>
      <c r="AF709" s="178">
        <f t="shared" si="465"/>
        <v>153.63753613066683</v>
      </c>
      <c r="AG709" s="178">
        <f t="shared" si="465"/>
        <v>100</v>
      </c>
      <c r="AH709" s="178">
        <f>AC709/Q709*100</f>
        <v>100</v>
      </c>
      <c r="AI709" s="171"/>
      <c r="AJ709" s="171">
        <v>70000</v>
      </c>
      <c r="AK709" s="171">
        <f t="shared" si="445"/>
        <v>142.24383179020327</v>
      </c>
      <c r="AL709" s="171">
        <f t="shared" si="466"/>
        <v>109.09090909090908</v>
      </c>
      <c r="AM709" s="171">
        <f t="shared" si="466"/>
        <v>116.66666666666667</v>
      </c>
      <c r="AN709" s="90"/>
      <c r="AO709" s="193"/>
      <c r="AP709" s="193" t="e">
        <f t="shared" ca="1" si="442"/>
        <v>#NAME?</v>
      </c>
      <c r="AQ709" s="200">
        <f>AQ710</f>
        <v>54980.73</v>
      </c>
      <c r="AR709" s="204">
        <f>V709/R709*100</f>
        <v>142.24383179020327</v>
      </c>
      <c r="AS709" s="204">
        <f>W709/V709*100</f>
        <v>100</v>
      </c>
      <c r="AT709" s="204">
        <f>W709/R709*100</f>
        <v>142.24383179020327</v>
      </c>
      <c r="AU709" s="204">
        <f>AQ709/W709*100</f>
        <v>99.964963636363649</v>
      </c>
      <c r="AV709" s="204">
        <f>AQ709/R709*100</f>
        <v>142.19399472404697</v>
      </c>
    </row>
    <row r="710" spans="1:48" ht="12" customHeight="1">
      <c r="A710" s="62"/>
      <c r="B710" s="62"/>
      <c r="C710" s="62"/>
      <c r="D710" s="62"/>
      <c r="E710" s="62"/>
      <c r="F710" s="62"/>
      <c r="G710" s="62"/>
      <c r="H710" s="304"/>
      <c r="I710" s="464"/>
      <c r="J710" s="303">
        <v>323</v>
      </c>
      <c r="K710" s="19" t="s">
        <v>356</v>
      </c>
      <c r="L710" s="112">
        <f t="shared" si="464"/>
        <v>279798</v>
      </c>
      <c r="M710" s="112">
        <f t="shared" si="464"/>
        <v>37135.576348795541</v>
      </c>
      <c r="N710" s="113">
        <f t="shared" si="464"/>
        <v>196163</v>
      </c>
      <c r="O710" s="113">
        <f t="shared" si="464"/>
        <v>26035.304267038289</v>
      </c>
      <c r="P710" s="114">
        <f t="shared" si="464"/>
        <v>40000</v>
      </c>
      <c r="Q710" s="114">
        <f t="shared" si="464"/>
        <v>40000</v>
      </c>
      <c r="R710" s="88">
        <f t="shared" si="464"/>
        <v>38666</v>
      </c>
      <c r="S710" s="90" t="e">
        <f t="shared" ca="1" si="464"/>
        <v>#NAME?</v>
      </c>
      <c r="T710" s="90"/>
      <c r="U710" s="90"/>
      <c r="V710" s="200">
        <f>V711</f>
        <v>55000</v>
      </c>
      <c r="W710" s="200">
        <f t="shared" si="464"/>
        <v>55000</v>
      </c>
      <c r="X710" s="88">
        <f t="shared" si="464"/>
        <v>60000</v>
      </c>
      <c r="Y710" s="171">
        <f t="shared" si="464"/>
        <v>70000</v>
      </c>
      <c r="Z710" s="171">
        <f t="shared" si="464"/>
        <v>0</v>
      </c>
      <c r="AA710" s="370" t="e">
        <f t="shared" ca="1" si="443"/>
        <v>#NAME?</v>
      </c>
      <c r="AB710" s="171"/>
      <c r="AC710" s="172">
        <f>AC711</f>
        <v>40000</v>
      </c>
      <c r="AD710" s="172">
        <f>AD711</f>
        <v>40000</v>
      </c>
      <c r="AE710" s="178">
        <f>O710/M710*100</f>
        <v>70.108792771928321</v>
      </c>
      <c r="AF710" s="178">
        <f t="shared" si="465"/>
        <v>153.63753613066683</v>
      </c>
      <c r="AG710" s="178">
        <f t="shared" si="465"/>
        <v>100</v>
      </c>
      <c r="AH710" s="178">
        <f>AC710/Q710*100</f>
        <v>100</v>
      </c>
      <c r="AI710" s="171"/>
      <c r="AJ710" s="171">
        <v>70000</v>
      </c>
      <c r="AK710" s="171">
        <f t="shared" si="445"/>
        <v>142.24383179020327</v>
      </c>
      <c r="AL710" s="171">
        <f t="shared" si="466"/>
        <v>109.09090909090908</v>
      </c>
      <c r="AM710" s="171">
        <f t="shared" si="466"/>
        <v>116.66666666666667</v>
      </c>
      <c r="AN710" s="90"/>
      <c r="AO710" s="193"/>
      <c r="AP710" s="193" t="e">
        <f t="shared" ca="1" si="442"/>
        <v>#NAME?</v>
      </c>
      <c r="AQ710" s="200">
        <f>AQ711</f>
        <v>54980.73</v>
      </c>
      <c r="AR710" s="204">
        <f>V710/R710*100</f>
        <v>142.24383179020327</v>
      </c>
      <c r="AS710" s="204">
        <f>W710/V710*100</f>
        <v>100</v>
      </c>
      <c r="AT710" s="204">
        <f>W710/R710*100</f>
        <v>142.24383179020327</v>
      </c>
      <c r="AU710" s="204">
        <f>AQ710/W710*100</f>
        <v>99.964963636363649</v>
      </c>
      <c r="AV710" s="204">
        <f>AQ710/R710*100</f>
        <v>142.19399472404697</v>
      </c>
    </row>
    <row r="711" spans="1:48" ht="12" customHeight="1">
      <c r="A711" s="53"/>
      <c r="B711" s="53"/>
      <c r="C711" s="53"/>
      <c r="D711" s="53"/>
      <c r="E711" s="53"/>
      <c r="F711" s="53"/>
      <c r="G711" s="53"/>
      <c r="H711" s="1" t="s">
        <v>596</v>
      </c>
      <c r="I711" s="397">
        <v>660</v>
      </c>
      <c r="J711" s="229">
        <v>3232</v>
      </c>
      <c r="K711" s="18" t="s">
        <v>597</v>
      </c>
      <c r="L711" s="130">
        <v>279798</v>
      </c>
      <c r="M711" s="130">
        <f>279798/7.5345</f>
        <v>37135.576348795541</v>
      </c>
      <c r="N711" s="131">
        <v>196163</v>
      </c>
      <c r="O711" s="131">
        <f>N711/7.5345</f>
        <v>26035.304267038289</v>
      </c>
      <c r="P711" s="132">
        <v>40000</v>
      </c>
      <c r="Q711" s="132">
        <v>40000</v>
      </c>
      <c r="R711" s="159">
        <v>38666</v>
      </c>
      <c r="S711" s="165" t="e">
        <f ca="1">__xlfn.XLOOKUP(H711,[1]Izvršenje_proračuna_po_pozicija!$B$2:$B$153,[1]Izvršenje_proračuna_po_pozicija!$E$2:$E$153,0)</f>
        <v>#NAME?</v>
      </c>
      <c r="T711" s="165"/>
      <c r="U711" s="165"/>
      <c r="V711" s="200">
        <v>55000</v>
      </c>
      <c r="W711" s="200">
        <v>55000</v>
      </c>
      <c r="X711" s="164">
        <v>60000</v>
      </c>
      <c r="Y711" s="378">
        <v>70000</v>
      </c>
      <c r="Z711" s="378"/>
      <c r="AA711" s="370" t="e">
        <f t="shared" ca="1" si="443"/>
        <v>#NAME?</v>
      </c>
      <c r="AB711" s="183"/>
      <c r="AC711" s="178">
        <v>40000</v>
      </c>
      <c r="AD711" s="178">
        <v>40000</v>
      </c>
      <c r="AE711" s="178">
        <f>O711/M711*100</f>
        <v>70.108792771928321</v>
      </c>
      <c r="AF711" s="178">
        <f t="shared" si="465"/>
        <v>153.63753613066683</v>
      </c>
      <c r="AG711" s="178">
        <f t="shared" si="465"/>
        <v>100</v>
      </c>
      <c r="AH711" s="178">
        <f>AC711/Q711*100</f>
        <v>100</v>
      </c>
      <c r="AI711" s="183"/>
      <c r="AJ711" s="378">
        <v>70000</v>
      </c>
      <c r="AK711" s="171">
        <f t="shared" si="445"/>
        <v>142.24383179020327</v>
      </c>
      <c r="AL711" s="171">
        <f t="shared" si="466"/>
        <v>109.09090909090908</v>
      </c>
      <c r="AM711" s="171">
        <f t="shared" si="466"/>
        <v>116.66666666666667</v>
      </c>
      <c r="AN711" s="165"/>
      <c r="AO711" s="193"/>
      <c r="AP711" s="193" t="e">
        <f t="shared" ca="1" si="442"/>
        <v>#NAME?</v>
      </c>
      <c r="AQ711" s="200">
        <v>54980.73</v>
      </c>
      <c r="AR711" s="204">
        <f>V711/R711*100</f>
        <v>142.24383179020327</v>
      </c>
      <c r="AS711" s="204">
        <f>W711/V711*100</f>
        <v>100</v>
      </c>
      <c r="AT711" s="204">
        <f>W711/R711*100</f>
        <v>142.24383179020327</v>
      </c>
      <c r="AU711" s="204">
        <f>AQ711/W711*100</f>
        <v>99.964963636363649</v>
      </c>
      <c r="AV711" s="204">
        <f>AQ711/R711*100</f>
        <v>142.19399472404697</v>
      </c>
    </row>
    <row r="712" spans="1:48" ht="12" customHeight="1">
      <c r="A712" s="42"/>
      <c r="B712" s="42"/>
      <c r="C712" s="42"/>
      <c r="D712" s="42"/>
      <c r="E712" s="42"/>
      <c r="F712" s="42"/>
      <c r="G712" s="42"/>
      <c r="H712" s="308"/>
      <c r="I712" s="14"/>
      <c r="J712" s="2"/>
      <c r="K712" s="84"/>
      <c r="L712" s="85"/>
      <c r="M712" s="85"/>
      <c r="N712" s="86"/>
      <c r="O712" s="86"/>
      <c r="P712" s="87"/>
      <c r="Q712" s="87"/>
      <c r="R712" s="160"/>
      <c r="S712" s="165" t="e">
        <f ca="1">__xlfn.XLOOKUP(H712,[1]Izvršenje_proračuna_po_pozicija!$B$2:$B$153,[1]Izvršenje_proračuna_po_pozicija!$E$2:$E$153,0)</f>
        <v>#NAME?</v>
      </c>
      <c r="T712" s="165"/>
      <c r="U712" s="165"/>
      <c r="V712" s="200"/>
      <c r="W712" s="200"/>
      <c r="X712" s="361"/>
      <c r="Y712" s="373"/>
      <c r="Z712" s="373"/>
      <c r="AA712" s="370" t="e">
        <f t="shared" ca="1" si="443"/>
        <v>#NAME?</v>
      </c>
      <c r="AB712" s="181"/>
      <c r="AC712" s="182"/>
      <c r="AD712" s="182"/>
      <c r="AE712" s="178"/>
      <c r="AF712" s="178"/>
      <c r="AG712" s="178"/>
      <c r="AH712" s="178"/>
      <c r="AI712" s="181"/>
      <c r="AJ712" s="373"/>
      <c r="AK712" s="171"/>
      <c r="AL712" s="171"/>
      <c r="AM712" s="171"/>
      <c r="AN712" s="161"/>
      <c r="AO712" s="193"/>
      <c r="AP712" s="193" t="e">
        <f t="shared" ca="1" si="442"/>
        <v>#NAME?</v>
      </c>
      <c r="AQ712" s="200"/>
      <c r="AR712" s="204"/>
      <c r="AS712" s="204"/>
      <c r="AT712" s="204"/>
      <c r="AU712" s="204"/>
      <c r="AV712" s="204"/>
    </row>
    <row r="713" spans="1:48" ht="12" customHeight="1">
      <c r="A713" s="390" t="s">
        <v>598</v>
      </c>
      <c r="B713" s="391"/>
      <c r="C713" s="391"/>
      <c r="D713" s="391"/>
      <c r="E713" s="391"/>
      <c r="F713" s="391"/>
      <c r="G713" s="391"/>
      <c r="H713" s="435"/>
      <c r="I713" s="482" t="s">
        <v>599</v>
      </c>
      <c r="J713" s="483"/>
      <c r="K713" s="300"/>
      <c r="L713" s="335">
        <f t="shared" ref="L713:S713" si="467">L715</f>
        <v>80930</v>
      </c>
      <c r="M713" s="335">
        <f t="shared" si="467"/>
        <v>10741.256884995686</v>
      </c>
      <c r="N713" s="336">
        <f t="shared" si="467"/>
        <v>53542</v>
      </c>
      <c r="O713" s="336">
        <f t="shared" si="467"/>
        <v>7106.2446081359076</v>
      </c>
      <c r="P713" s="337">
        <f t="shared" si="467"/>
        <v>8000</v>
      </c>
      <c r="Q713" s="337">
        <f t="shared" si="467"/>
        <v>8000</v>
      </c>
      <c r="R713" s="359">
        <f t="shared" si="467"/>
        <v>6424</v>
      </c>
      <c r="S713" s="360" t="e">
        <f t="shared" ca="1" si="467"/>
        <v>#NAME?</v>
      </c>
      <c r="T713" s="360"/>
      <c r="U713" s="360"/>
      <c r="V713" s="200">
        <f>V715</f>
        <v>11000</v>
      </c>
      <c r="W713" s="200">
        <f>W715</f>
        <v>11000</v>
      </c>
      <c r="X713" s="359">
        <f>X715</f>
        <v>12000</v>
      </c>
      <c r="Y713" s="371">
        <f>Y715</f>
        <v>14000</v>
      </c>
      <c r="Z713" s="371">
        <f>Z715</f>
        <v>0</v>
      </c>
      <c r="AA713" s="370" t="e">
        <f t="shared" ca="1" si="443"/>
        <v>#NAME?</v>
      </c>
      <c r="AB713" s="371"/>
      <c r="AC713" s="372">
        <f>AC715</f>
        <v>9000</v>
      </c>
      <c r="AD713" s="372">
        <f>AD715</f>
        <v>9000</v>
      </c>
      <c r="AE713" s="178">
        <f>O713/M713*100</f>
        <v>66.158408501173852</v>
      </c>
      <c r="AF713" s="178">
        <f>P713/O713*100</f>
        <v>112.57704232191553</v>
      </c>
      <c r="AG713" s="178">
        <f>Q713/P713*100</f>
        <v>100</v>
      </c>
      <c r="AH713" s="178">
        <f>AC713/Q713*100</f>
        <v>112.5</v>
      </c>
      <c r="AI713" s="371"/>
      <c r="AJ713" s="371">
        <v>14000</v>
      </c>
      <c r="AK713" s="171">
        <f t="shared" si="445"/>
        <v>171.23287671232876</v>
      </c>
      <c r="AL713" s="171">
        <f>X713/W713*100</f>
        <v>109.09090909090908</v>
      </c>
      <c r="AM713" s="171">
        <f>Y713/X713*100</f>
        <v>116.66666666666667</v>
      </c>
      <c r="AN713" s="360"/>
      <c r="AO713" s="193"/>
      <c r="AP713" s="193" t="e">
        <f t="shared" ca="1" si="442"/>
        <v>#NAME?</v>
      </c>
      <c r="AQ713" s="200">
        <f>AQ715</f>
        <v>9799.23</v>
      </c>
      <c r="AR713" s="204">
        <f>V713/R713*100</f>
        <v>171.23287671232876</v>
      </c>
      <c r="AS713" s="204">
        <f>W713/V713*100</f>
        <v>100</v>
      </c>
      <c r="AT713" s="204">
        <f>W713/R713*100</f>
        <v>171.23287671232876</v>
      </c>
      <c r="AU713" s="204">
        <f>AQ713/W713*100</f>
        <v>89.083909090909088</v>
      </c>
      <c r="AV713" s="204">
        <f>AQ713/R713*100</f>
        <v>152.54094022415941</v>
      </c>
    </row>
    <row r="714" spans="1:48" ht="12" customHeight="1">
      <c r="A714" s="69"/>
      <c r="B714" s="69"/>
      <c r="C714" s="69"/>
      <c r="D714" s="69"/>
      <c r="E714" s="69"/>
      <c r="F714" s="69"/>
      <c r="G714" s="69"/>
      <c r="H714" s="389"/>
      <c r="I714" s="341"/>
      <c r="J714" s="281"/>
      <c r="K714" s="70"/>
      <c r="L714" s="217"/>
      <c r="M714" s="217"/>
      <c r="N714" s="218"/>
      <c r="O714" s="218"/>
      <c r="P714" s="219"/>
      <c r="Q714" s="219"/>
      <c r="R714" s="282"/>
      <c r="S714" s="165" t="e">
        <f ca="1">__xlfn.XLOOKUP(H714,[1]Izvršenje_proračuna_po_pozicija!$B$2:$B$153,[1]Izvršenje_proračuna_po_pozicija!$E$2:$E$153,0)</f>
        <v>#NAME?</v>
      </c>
      <c r="T714" s="165"/>
      <c r="U714" s="165"/>
      <c r="V714" s="200"/>
      <c r="W714" s="200"/>
      <c r="X714" s="167"/>
      <c r="Y714" s="424"/>
      <c r="Z714" s="424"/>
      <c r="AA714" s="370" t="e">
        <f t="shared" ca="1" si="443"/>
        <v>#NAME?</v>
      </c>
      <c r="AB714" s="223"/>
      <c r="AC714" s="224"/>
      <c r="AD714" s="224"/>
      <c r="AE714" s="178"/>
      <c r="AF714" s="178"/>
      <c r="AG714" s="178"/>
      <c r="AH714" s="178"/>
      <c r="AI714" s="223"/>
      <c r="AJ714" s="424"/>
      <c r="AK714" s="171"/>
      <c r="AL714" s="171"/>
      <c r="AM714" s="171"/>
      <c r="AN714" s="222"/>
      <c r="AO714" s="193"/>
      <c r="AP714" s="193" t="e">
        <f t="shared" ca="1" si="442"/>
        <v>#NAME?</v>
      </c>
      <c r="AQ714" s="200"/>
      <c r="AR714" s="204"/>
      <c r="AS714" s="204"/>
      <c r="AT714" s="204"/>
      <c r="AU714" s="204"/>
      <c r="AV714" s="204"/>
    </row>
    <row r="715" spans="1:48" ht="12" customHeight="1">
      <c r="A715" s="24"/>
      <c r="B715" s="24"/>
      <c r="C715" s="24"/>
      <c r="D715" s="24"/>
      <c r="E715" s="24"/>
      <c r="F715" s="24"/>
      <c r="G715" s="24"/>
      <c r="H715" s="393"/>
      <c r="I715" s="465"/>
      <c r="J715" s="281">
        <v>3</v>
      </c>
      <c r="K715" s="2" t="s">
        <v>224</v>
      </c>
      <c r="L715" s="112">
        <f t="shared" ref="L715:AD717" si="468">L716</f>
        <v>80930</v>
      </c>
      <c r="M715" s="112">
        <f t="shared" si="468"/>
        <v>10741.256884995686</v>
      </c>
      <c r="N715" s="113">
        <f t="shared" si="468"/>
        <v>53542</v>
      </c>
      <c r="O715" s="113">
        <f t="shared" si="468"/>
        <v>7106.2446081359076</v>
      </c>
      <c r="P715" s="114">
        <f t="shared" si="468"/>
        <v>8000</v>
      </c>
      <c r="Q715" s="114">
        <f t="shared" si="468"/>
        <v>8000</v>
      </c>
      <c r="R715" s="88">
        <f t="shared" si="468"/>
        <v>6424</v>
      </c>
      <c r="S715" s="90" t="e">
        <f t="shared" ca="1" si="468"/>
        <v>#NAME?</v>
      </c>
      <c r="T715" s="90"/>
      <c r="U715" s="90"/>
      <c r="V715" s="200">
        <f>V716</f>
        <v>11000</v>
      </c>
      <c r="W715" s="200">
        <f t="shared" si="468"/>
        <v>11000</v>
      </c>
      <c r="X715" s="88">
        <f t="shared" si="468"/>
        <v>12000</v>
      </c>
      <c r="Y715" s="171">
        <f t="shared" si="468"/>
        <v>14000</v>
      </c>
      <c r="Z715" s="171">
        <f t="shared" si="468"/>
        <v>0</v>
      </c>
      <c r="AA715" s="370" t="e">
        <f t="shared" ca="1" si="443"/>
        <v>#NAME?</v>
      </c>
      <c r="AB715" s="171"/>
      <c r="AC715" s="172">
        <f t="shared" si="468"/>
        <v>9000</v>
      </c>
      <c r="AD715" s="172">
        <f t="shared" si="468"/>
        <v>9000</v>
      </c>
      <c r="AE715" s="178">
        <f>O715/M715*100</f>
        <v>66.158408501173852</v>
      </c>
      <c r="AF715" s="178">
        <f t="shared" ref="AF715:AG718" si="469">P715/O715*100</f>
        <v>112.57704232191553</v>
      </c>
      <c r="AG715" s="178">
        <f t="shared" si="469"/>
        <v>100</v>
      </c>
      <c r="AH715" s="178">
        <f>AC715/Q715*100</f>
        <v>112.5</v>
      </c>
      <c r="AI715" s="171"/>
      <c r="AJ715" s="171">
        <v>14000</v>
      </c>
      <c r="AK715" s="171">
        <f t="shared" si="445"/>
        <v>171.23287671232876</v>
      </c>
      <c r="AL715" s="171">
        <f t="shared" ref="AL715:AM718" si="470">X715/W715*100</f>
        <v>109.09090909090908</v>
      </c>
      <c r="AM715" s="171">
        <f t="shared" si="470"/>
        <v>116.66666666666667</v>
      </c>
      <c r="AN715" s="90"/>
      <c r="AO715" s="193"/>
      <c r="AP715" s="193" t="e">
        <f t="shared" ca="1" si="442"/>
        <v>#NAME?</v>
      </c>
      <c r="AQ715" s="200">
        <f>AQ716</f>
        <v>9799.23</v>
      </c>
      <c r="AR715" s="204">
        <f>V715/R715*100</f>
        <v>171.23287671232876</v>
      </c>
      <c r="AS715" s="204">
        <f>W715/V715*100</f>
        <v>100</v>
      </c>
      <c r="AT715" s="204">
        <f>W715/R715*100</f>
        <v>171.23287671232876</v>
      </c>
      <c r="AU715" s="204">
        <f>AQ715/W715*100</f>
        <v>89.083909090909088</v>
      </c>
      <c r="AV715" s="204">
        <f>AQ715/R715*100</f>
        <v>152.54094022415941</v>
      </c>
    </row>
    <row r="716" spans="1:48" ht="12" customHeight="1">
      <c r="A716" s="301"/>
      <c r="B716" s="301"/>
      <c r="C716" s="301"/>
      <c r="D716" s="301"/>
      <c r="E716" s="301"/>
      <c r="F716" s="301"/>
      <c r="G716" s="301"/>
      <c r="H716" s="307"/>
      <c r="I716" s="350"/>
      <c r="J716" s="302">
        <v>32</v>
      </c>
      <c r="K716" s="343" t="s">
        <v>233</v>
      </c>
      <c r="L716" s="112">
        <f t="shared" si="468"/>
        <v>80930</v>
      </c>
      <c r="M716" s="112">
        <f t="shared" si="468"/>
        <v>10741.256884995686</v>
      </c>
      <c r="N716" s="113">
        <f t="shared" si="468"/>
        <v>53542</v>
      </c>
      <c r="O716" s="113">
        <f t="shared" si="468"/>
        <v>7106.2446081359076</v>
      </c>
      <c r="P716" s="114">
        <f t="shared" si="468"/>
        <v>8000</v>
      </c>
      <c r="Q716" s="114">
        <f t="shared" si="468"/>
        <v>8000</v>
      </c>
      <c r="R716" s="88">
        <f t="shared" si="468"/>
        <v>6424</v>
      </c>
      <c r="S716" s="90" t="e">
        <f t="shared" ca="1" si="468"/>
        <v>#NAME?</v>
      </c>
      <c r="T716" s="90"/>
      <c r="U716" s="90"/>
      <c r="V716" s="200">
        <f>V717</f>
        <v>11000</v>
      </c>
      <c r="W716" s="200">
        <f t="shared" si="468"/>
        <v>11000</v>
      </c>
      <c r="X716" s="88">
        <f t="shared" si="468"/>
        <v>12000</v>
      </c>
      <c r="Y716" s="171">
        <f t="shared" si="468"/>
        <v>14000</v>
      </c>
      <c r="Z716" s="171">
        <f t="shared" si="468"/>
        <v>0</v>
      </c>
      <c r="AA716" s="370" t="e">
        <f t="shared" ca="1" si="443"/>
        <v>#NAME?</v>
      </c>
      <c r="AB716" s="171"/>
      <c r="AC716" s="172">
        <f t="shared" si="468"/>
        <v>9000</v>
      </c>
      <c r="AD716" s="172">
        <f t="shared" si="468"/>
        <v>9000</v>
      </c>
      <c r="AE716" s="178">
        <f>O716/M716*100</f>
        <v>66.158408501173852</v>
      </c>
      <c r="AF716" s="178">
        <f t="shared" si="469"/>
        <v>112.57704232191553</v>
      </c>
      <c r="AG716" s="178">
        <f t="shared" si="469"/>
        <v>100</v>
      </c>
      <c r="AH716" s="178">
        <f>AC716/Q716*100</f>
        <v>112.5</v>
      </c>
      <c r="AI716" s="171"/>
      <c r="AJ716" s="171">
        <v>14000</v>
      </c>
      <c r="AK716" s="171">
        <f t="shared" si="445"/>
        <v>171.23287671232876</v>
      </c>
      <c r="AL716" s="171">
        <f t="shared" si="470"/>
        <v>109.09090909090908</v>
      </c>
      <c r="AM716" s="171">
        <f t="shared" si="470"/>
        <v>116.66666666666667</v>
      </c>
      <c r="AN716" s="90"/>
      <c r="AO716" s="193"/>
      <c r="AP716" s="193" t="e">
        <f t="shared" ca="1" si="442"/>
        <v>#NAME?</v>
      </c>
      <c r="AQ716" s="200">
        <f>AQ717</f>
        <v>9799.23</v>
      </c>
      <c r="AR716" s="204">
        <f>V716/R716*100</f>
        <v>171.23287671232876</v>
      </c>
      <c r="AS716" s="204">
        <f>W716/V716*100</f>
        <v>100</v>
      </c>
      <c r="AT716" s="204">
        <f>W716/R716*100</f>
        <v>171.23287671232876</v>
      </c>
      <c r="AU716" s="204">
        <f>AQ716/W716*100</f>
        <v>89.083909090909088</v>
      </c>
      <c r="AV716" s="204">
        <f>AQ716/R716*100</f>
        <v>152.54094022415941</v>
      </c>
    </row>
    <row r="717" spans="1:48" ht="12" customHeight="1">
      <c r="A717" s="62"/>
      <c r="B717" s="62"/>
      <c r="C717" s="62"/>
      <c r="D717" s="62"/>
      <c r="E717" s="62"/>
      <c r="F717" s="62"/>
      <c r="G717" s="62"/>
      <c r="H717" s="304"/>
      <c r="I717" s="464"/>
      <c r="J717" s="303">
        <v>323</v>
      </c>
      <c r="K717" s="19" t="s">
        <v>356</v>
      </c>
      <c r="L717" s="112">
        <f t="shared" si="468"/>
        <v>80930</v>
      </c>
      <c r="M717" s="112">
        <f t="shared" si="468"/>
        <v>10741.256884995686</v>
      </c>
      <c r="N717" s="113">
        <f t="shared" si="468"/>
        <v>53542</v>
      </c>
      <c r="O717" s="113">
        <f t="shared" si="468"/>
        <v>7106.2446081359076</v>
      </c>
      <c r="P717" s="114">
        <f t="shared" si="468"/>
        <v>8000</v>
      </c>
      <c r="Q717" s="114">
        <f t="shared" si="468"/>
        <v>8000</v>
      </c>
      <c r="R717" s="88">
        <f t="shared" si="468"/>
        <v>6424</v>
      </c>
      <c r="S717" s="90" t="e">
        <f t="shared" ca="1" si="468"/>
        <v>#NAME?</v>
      </c>
      <c r="T717" s="90"/>
      <c r="U717" s="90"/>
      <c r="V717" s="200">
        <f>V718</f>
        <v>11000</v>
      </c>
      <c r="W717" s="200">
        <f t="shared" si="468"/>
        <v>11000</v>
      </c>
      <c r="X717" s="88">
        <f t="shared" si="468"/>
        <v>12000</v>
      </c>
      <c r="Y717" s="171">
        <f t="shared" si="468"/>
        <v>14000</v>
      </c>
      <c r="Z717" s="171">
        <f t="shared" si="468"/>
        <v>0</v>
      </c>
      <c r="AA717" s="370" t="e">
        <f t="shared" ca="1" si="443"/>
        <v>#NAME?</v>
      </c>
      <c r="AB717" s="171"/>
      <c r="AC717" s="172">
        <f t="shared" si="468"/>
        <v>9000</v>
      </c>
      <c r="AD717" s="172">
        <f t="shared" si="468"/>
        <v>9000</v>
      </c>
      <c r="AE717" s="178">
        <f>O717/M717*100</f>
        <v>66.158408501173852</v>
      </c>
      <c r="AF717" s="178">
        <f t="shared" si="469"/>
        <v>112.57704232191553</v>
      </c>
      <c r="AG717" s="178">
        <f t="shared" si="469"/>
        <v>100</v>
      </c>
      <c r="AH717" s="178">
        <f>AC717/Q717*100</f>
        <v>112.5</v>
      </c>
      <c r="AI717" s="171"/>
      <c r="AJ717" s="171">
        <v>14000</v>
      </c>
      <c r="AK717" s="171">
        <f t="shared" si="445"/>
        <v>171.23287671232876</v>
      </c>
      <c r="AL717" s="171">
        <f t="shared" si="470"/>
        <v>109.09090909090908</v>
      </c>
      <c r="AM717" s="171">
        <f t="shared" si="470"/>
        <v>116.66666666666667</v>
      </c>
      <c r="AN717" s="90"/>
      <c r="AO717" s="193"/>
      <c r="AP717" s="193" t="e">
        <f t="shared" ca="1" si="442"/>
        <v>#NAME?</v>
      </c>
      <c r="AQ717" s="200">
        <f>AQ718</f>
        <v>9799.23</v>
      </c>
      <c r="AR717" s="204">
        <f>V717/R717*100</f>
        <v>171.23287671232876</v>
      </c>
      <c r="AS717" s="204">
        <f>W717/V717*100</f>
        <v>100</v>
      </c>
      <c r="AT717" s="204">
        <f>W717/R717*100</f>
        <v>171.23287671232876</v>
      </c>
      <c r="AU717" s="204">
        <f>AQ717/W717*100</f>
        <v>89.083909090909088</v>
      </c>
      <c r="AV717" s="204">
        <f>AQ717/R717*100</f>
        <v>152.54094022415941</v>
      </c>
    </row>
    <row r="718" spans="1:48" ht="12" customHeight="1">
      <c r="A718" s="53"/>
      <c r="B718" s="53"/>
      <c r="C718" s="53"/>
      <c r="D718" s="53"/>
      <c r="E718" s="53"/>
      <c r="F718" s="53"/>
      <c r="G718" s="53"/>
      <c r="H718" s="1">
        <v>110</v>
      </c>
      <c r="I718" s="397">
        <v>660</v>
      </c>
      <c r="J718" s="229">
        <v>3234</v>
      </c>
      <c r="K718" s="18" t="s">
        <v>600</v>
      </c>
      <c r="L718" s="130">
        <v>80930</v>
      </c>
      <c r="M718" s="130">
        <f>80930/7.5345</f>
        <v>10741.256884995686</v>
      </c>
      <c r="N718" s="131">
        <v>53542</v>
      </c>
      <c r="O718" s="131">
        <f>N718/7.5345</f>
        <v>7106.2446081359076</v>
      </c>
      <c r="P718" s="132">
        <v>8000</v>
      </c>
      <c r="Q718" s="132">
        <v>8000</v>
      </c>
      <c r="R718" s="159">
        <v>6424</v>
      </c>
      <c r="S718" s="165" t="e">
        <f ca="1">__xlfn.XLOOKUP(H718,[1]Izvršenje_proračuna_po_pozicija!$B$2:$B$153,[1]Izvršenje_proračuna_po_pozicija!$E$2:$E$153,0)</f>
        <v>#NAME?</v>
      </c>
      <c r="T718" s="165"/>
      <c r="U718" s="165"/>
      <c r="V718" s="200">
        <v>11000</v>
      </c>
      <c r="W718" s="200">
        <v>11000</v>
      </c>
      <c r="X718" s="164">
        <v>12000</v>
      </c>
      <c r="Y718" s="378">
        <v>14000</v>
      </c>
      <c r="Z718" s="378"/>
      <c r="AA718" s="370" t="e">
        <f t="shared" ca="1" si="443"/>
        <v>#NAME?</v>
      </c>
      <c r="AB718" s="183"/>
      <c r="AC718" s="178">
        <v>9000</v>
      </c>
      <c r="AD718" s="178">
        <v>9000</v>
      </c>
      <c r="AE718" s="178">
        <f>O718/M718*100</f>
        <v>66.158408501173852</v>
      </c>
      <c r="AF718" s="178">
        <f t="shared" si="469"/>
        <v>112.57704232191553</v>
      </c>
      <c r="AG718" s="178">
        <f t="shared" si="469"/>
        <v>100</v>
      </c>
      <c r="AH718" s="178">
        <f>AC718/Q718*100</f>
        <v>112.5</v>
      </c>
      <c r="AI718" s="183"/>
      <c r="AJ718" s="378">
        <v>14000</v>
      </c>
      <c r="AK718" s="171">
        <f t="shared" si="445"/>
        <v>171.23287671232876</v>
      </c>
      <c r="AL718" s="171">
        <f t="shared" si="470"/>
        <v>109.09090909090908</v>
      </c>
      <c r="AM718" s="171">
        <f t="shared" si="470"/>
        <v>116.66666666666667</v>
      </c>
      <c r="AN718" s="165"/>
      <c r="AO718" s="193"/>
      <c r="AP718" s="193" t="e">
        <f t="shared" ca="1" si="442"/>
        <v>#NAME?</v>
      </c>
      <c r="AQ718" s="200">
        <v>9799.23</v>
      </c>
      <c r="AR718" s="204">
        <f>V718/R718*100</f>
        <v>171.23287671232876</v>
      </c>
      <c r="AS718" s="204">
        <f>W718/V718*100</f>
        <v>100</v>
      </c>
      <c r="AT718" s="204">
        <f>W718/R718*100</f>
        <v>171.23287671232876</v>
      </c>
      <c r="AU718" s="204">
        <f>AQ718/W718*100</f>
        <v>89.083909090909088</v>
      </c>
      <c r="AV718" s="204">
        <f>AQ718/R718*100</f>
        <v>152.54094022415941</v>
      </c>
    </row>
    <row r="719" spans="1:48" ht="12" customHeight="1">
      <c r="A719" s="69"/>
      <c r="B719" s="69"/>
      <c r="C719" s="69"/>
      <c r="D719" s="69"/>
      <c r="E719" s="69"/>
      <c r="F719" s="69"/>
      <c r="G719" s="69"/>
      <c r="H719" s="389"/>
      <c r="I719" s="449"/>
      <c r="J719" s="7"/>
      <c r="K719" s="70"/>
      <c r="L719" s="217"/>
      <c r="M719" s="217"/>
      <c r="N719" s="218"/>
      <c r="O719" s="218"/>
      <c r="P719" s="219"/>
      <c r="Q719" s="219"/>
      <c r="R719" s="282"/>
      <c r="S719" s="165" t="e">
        <f ca="1">__xlfn.XLOOKUP(H719,[1]Izvršenje_proračuna_po_pozicija!$B$2:$B$153,[1]Izvršenje_proračuna_po_pozicija!$E$2:$E$153,0)</f>
        <v>#NAME?</v>
      </c>
      <c r="T719" s="165"/>
      <c r="U719" s="165"/>
      <c r="V719" s="200"/>
      <c r="W719" s="200"/>
      <c r="X719" s="167"/>
      <c r="Y719" s="424"/>
      <c r="Z719" s="424"/>
      <c r="AA719" s="370" t="e">
        <f t="shared" ca="1" si="443"/>
        <v>#NAME?</v>
      </c>
      <c r="AB719" s="223"/>
      <c r="AC719" s="224"/>
      <c r="AD719" s="224"/>
      <c r="AE719" s="178"/>
      <c r="AF719" s="178"/>
      <c r="AG719" s="178"/>
      <c r="AH719" s="178"/>
      <c r="AI719" s="223"/>
      <c r="AJ719" s="424"/>
      <c r="AK719" s="171"/>
      <c r="AL719" s="171"/>
      <c r="AM719" s="171"/>
      <c r="AN719" s="222"/>
      <c r="AO719" s="193"/>
      <c r="AP719" s="193" t="e">
        <f t="shared" ca="1" si="442"/>
        <v>#NAME?</v>
      </c>
      <c r="AQ719" s="200"/>
      <c r="AR719" s="204"/>
      <c r="AS719" s="204"/>
      <c r="AT719" s="204"/>
      <c r="AU719" s="204"/>
      <c r="AV719" s="204"/>
    </row>
    <row r="720" spans="1:48" ht="12" customHeight="1">
      <c r="A720" s="390" t="s">
        <v>601</v>
      </c>
      <c r="B720" s="391"/>
      <c r="C720" s="391"/>
      <c r="D720" s="391"/>
      <c r="E720" s="391"/>
      <c r="F720" s="391"/>
      <c r="G720" s="391"/>
      <c r="H720" s="392"/>
      <c r="I720" s="485" t="s">
        <v>602</v>
      </c>
      <c r="J720" s="454"/>
      <c r="K720" s="124"/>
      <c r="L720" s="112">
        <f t="shared" ref="L720:S720" si="471">L722</f>
        <v>315333</v>
      </c>
      <c r="M720" s="112">
        <f t="shared" si="471"/>
        <v>41851.881345809277</v>
      </c>
      <c r="N720" s="113">
        <f t="shared" si="471"/>
        <v>681027</v>
      </c>
      <c r="O720" s="113">
        <f t="shared" si="471"/>
        <v>90387.816046187538</v>
      </c>
      <c r="P720" s="114">
        <f t="shared" si="471"/>
        <v>82300</v>
      </c>
      <c r="Q720" s="114">
        <f t="shared" si="471"/>
        <v>66000</v>
      </c>
      <c r="R720" s="88">
        <f t="shared" si="471"/>
        <v>62420</v>
      </c>
      <c r="S720" s="90" t="e">
        <f t="shared" ca="1" si="471"/>
        <v>#NAME?</v>
      </c>
      <c r="T720" s="90"/>
      <c r="U720" s="90"/>
      <c r="V720" s="200">
        <f>V722</f>
        <v>57500</v>
      </c>
      <c r="W720" s="200">
        <f>W722</f>
        <v>57500</v>
      </c>
      <c r="X720" s="88">
        <f>X722</f>
        <v>43000</v>
      </c>
      <c r="Y720" s="171">
        <f>Y722</f>
        <v>63000</v>
      </c>
      <c r="Z720" s="171">
        <f>Z722</f>
        <v>0</v>
      </c>
      <c r="AA720" s="370" t="e">
        <f t="shared" ca="1" si="443"/>
        <v>#NAME?</v>
      </c>
      <c r="AB720" s="171"/>
      <c r="AC720" s="172">
        <f>AC722</f>
        <v>83000</v>
      </c>
      <c r="AD720" s="172">
        <f>AD722</f>
        <v>83000</v>
      </c>
      <c r="AE720" s="178">
        <f>O720/M720*100</f>
        <v>215.9707356984521</v>
      </c>
      <c r="AF720" s="178">
        <f>P720/O720*100</f>
        <v>91.052094850864933</v>
      </c>
      <c r="AG720" s="178">
        <f>Q720/P720*100</f>
        <v>80.194410692588093</v>
      </c>
      <c r="AH720" s="178">
        <f>AC720/Q720*100</f>
        <v>125.75757575757575</v>
      </c>
      <c r="AI720" s="171"/>
      <c r="AJ720" s="171">
        <v>63000</v>
      </c>
      <c r="AK720" s="171">
        <f t="shared" si="445"/>
        <v>92.117910925985257</v>
      </c>
      <c r="AL720" s="171">
        <f>X720/W720*100</f>
        <v>74.782608695652172</v>
      </c>
      <c r="AM720" s="171">
        <f>Y720/X720*100</f>
        <v>146.51162790697674</v>
      </c>
      <c r="AN720" s="90"/>
      <c r="AO720" s="193"/>
      <c r="AP720" s="193" t="e">
        <f t="shared" ca="1" si="442"/>
        <v>#NAME?</v>
      </c>
      <c r="AQ720" s="200">
        <f>AQ722</f>
        <v>43428.57</v>
      </c>
      <c r="AR720" s="204">
        <f>V720/R720*100</f>
        <v>92.117910925985257</v>
      </c>
      <c r="AS720" s="204">
        <f>W720/V720*100</f>
        <v>100</v>
      </c>
      <c r="AT720" s="204">
        <f>W720/R720*100</f>
        <v>92.117910925985257</v>
      </c>
      <c r="AU720" s="204">
        <f>AQ720/W720*100</f>
        <v>75.527947826086958</v>
      </c>
      <c r="AV720" s="204">
        <f>AQ720/R720*100</f>
        <v>69.5747677026594</v>
      </c>
    </row>
    <row r="721" spans="1:48" ht="12" customHeight="1">
      <c r="A721" s="53"/>
      <c r="B721" s="53"/>
      <c r="C721" s="53"/>
      <c r="D721" s="53"/>
      <c r="E721" s="53"/>
      <c r="F721" s="53"/>
      <c r="G721" s="53"/>
      <c r="H721" s="1"/>
      <c r="I721" s="397"/>
      <c r="J721" s="229"/>
      <c r="K721" s="18"/>
      <c r="L721" s="466"/>
      <c r="M721" s="466"/>
      <c r="N721" s="467"/>
      <c r="O721" s="467"/>
      <c r="P721" s="468"/>
      <c r="Q721" s="468"/>
      <c r="R721" s="282"/>
      <c r="S721" s="165" t="e">
        <f ca="1">__xlfn.XLOOKUP(H721,[1]Izvršenje_proračuna_po_pozicija!$B$2:$B$153,[1]Izvršenje_proračuna_po_pozicija!$E$2:$E$153,0)</f>
        <v>#NAME?</v>
      </c>
      <c r="T721" s="165"/>
      <c r="U721" s="165"/>
      <c r="V721" s="200"/>
      <c r="W721" s="200"/>
      <c r="X721" s="167"/>
      <c r="Y721" s="424"/>
      <c r="Z721" s="424"/>
      <c r="AA721" s="370" t="e">
        <f t="shared" ca="1" si="443"/>
        <v>#NAME?</v>
      </c>
      <c r="AB721" s="223"/>
      <c r="AC721" s="224"/>
      <c r="AD721" s="224"/>
      <c r="AE721" s="178"/>
      <c r="AF721" s="178"/>
      <c r="AG721" s="178"/>
      <c r="AH721" s="178"/>
      <c r="AI721" s="223"/>
      <c r="AJ721" s="424"/>
      <c r="AK721" s="171"/>
      <c r="AL721" s="171"/>
      <c r="AM721" s="171"/>
      <c r="AN721" s="222"/>
      <c r="AO721" s="193"/>
      <c r="AP721" s="193" t="e">
        <f t="shared" ca="1" si="442"/>
        <v>#NAME?</v>
      </c>
      <c r="AQ721" s="200"/>
      <c r="AR721" s="204"/>
      <c r="AS721" s="204"/>
      <c r="AT721" s="204"/>
      <c r="AU721" s="204"/>
      <c r="AV721" s="204"/>
    </row>
    <row r="722" spans="1:48" ht="12" customHeight="1">
      <c r="A722" s="24"/>
      <c r="B722" s="24"/>
      <c r="C722" s="24"/>
      <c r="D722" s="24"/>
      <c r="E722" s="24"/>
      <c r="F722" s="24"/>
      <c r="G722" s="24"/>
      <c r="H722" s="393"/>
      <c r="I722" s="465"/>
      <c r="J722" s="281">
        <v>3</v>
      </c>
      <c r="K722" s="2" t="s">
        <v>224</v>
      </c>
      <c r="L722" s="112">
        <f t="shared" ref="L722:Z722" si="472">L723</f>
        <v>315333</v>
      </c>
      <c r="M722" s="112">
        <f t="shared" si="472"/>
        <v>41851.881345809277</v>
      </c>
      <c r="N722" s="113">
        <f t="shared" si="472"/>
        <v>681027</v>
      </c>
      <c r="O722" s="113">
        <f t="shared" si="472"/>
        <v>90387.816046187538</v>
      </c>
      <c r="P722" s="114">
        <f t="shared" si="472"/>
        <v>82300</v>
      </c>
      <c r="Q722" s="114">
        <f t="shared" si="472"/>
        <v>66000</v>
      </c>
      <c r="R722" s="88">
        <f t="shared" si="472"/>
        <v>62420</v>
      </c>
      <c r="S722" s="90" t="e">
        <f t="shared" ca="1" si="472"/>
        <v>#NAME?</v>
      </c>
      <c r="T722" s="90"/>
      <c r="U722" s="90"/>
      <c r="V722" s="200">
        <f t="shared" ref="V722:V727" si="473">V723</f>
        <v>57500</v>
      </c>
      <c r="W722" s="200">
        <f t="shared" si="472"/>
        <v>57500</v>
      </c>
      <c r="X722" s="88">
        <f t="shared" si="472"/>
        <v>43000</v>
      </c>
      <c r="Y722" s="171">
        <f t="shared" si="472"/>
        <v>63000</v>
      </c>
      <c r="Z722" s="171">
        <f t="shared" si="472"/>
        <v>0</v>
      </c>
      <c r="AA722" s="370" t="e">
        <f t="shared" ca="1" si="443"/>
        <v>#NAME?</v>
      </c>
      <c r="AB722" s="171"/>
      <c r="AC722" s="172">
        <f>AC723</f>
        <v>83000</v>
      </c>
      <c r="AD722" s="172">
        <f>AD723</f>
        <v>83000</v>
      </c>
      <c r="AE722" s="178">
        <f>O722/M722*100</f>
        <v>215.9707356984521</v>
      </c>
      <c r="AF722" s="178">
        <f>P722/O722*100</f>
        <v>91.052094850864933</v>
      </c>
      <c r="AG722" s="178">
        <f>Q722/P722*100</f>
        <v>80.194410692588093</v>
      </c>
      <c r="AH722" s="178">
        <f>AC722/Q722*100</f>
        <v>125.75757575757575</v>
      </c>
      <c r="AI722" s="171"/>
      <c r="AJ722" s="171">
        <v>63000</v>
      </c>
      <c r="AK722" s="171">
        <f t="shared" si="445"/>
        <v>92.117910925985257</v>
      </c>
      <c r="AL722" s="171">
        <f t="shared" ref="AL722:AM725" si="474">X722/W722*100</f>
        <v>74.782608695652172</v>
      </c>
      <c r="AM722" s="171">
        <f t="shared" si="474"/>
        <v>146.51162790697674</v>
      </c>
      <c r="AN722" s="90"/>
      <c r="AO722" s="193"/>
      <c r="AP722" s="193" t="e">
        <f t="shared" ca="1" si="442"/>
        <v>#NAME?</v>
      </c>
      <c r="AQ722" s="200">
        <f>AQ723</f>
        <v>43428.57</v>
      </c>
      <c r="AR722" s="204">
        <f>V722/R722*100</f>
        <v>92.117910925985257</v>
      </c>
      <c r="AS722" s="204">
        <f>W722/V722*100</f>
        <v>100</v>
      </c>
      <c r="AT722" s="204">
        <f>W722/R722*100</f>
        <v>92.117910925985257</v>
      </c>
      <c r="AU722" s="204">
        <f>AQ722/W722*100</f>
        <v>75.527947826086958</v>
      </c>
      <c r="AV722" s="204">
        <f>AQ722/R722*100</f>
        <v>69.5747677026594</v>
      </c>
    </row>
    <row r="723" spans="1:48" ht="12" customHeight="1">
      <c r="A723" s="301"/>
      <c r="B723" s="301"/>
      <c r="C723" s="301"/>
      <c r="D723" s="301"/>
      <c r="E723" s="301"/>
      <c r="F723" s="301"/>
      <c r="G723" s="301"/>
      <c r="H723" s="307"/>
      <c r="I723" s="350"/>
      <c r="J723" s="302">
        <v>32</v>
      </c>
      <c r="K723" s="343" t="s">
        <v>233</v>
      </c>
      <c r="L723" s="112">
        <f t="shared" ref="L723:S723" si="475">L724+L727</f>
        <v>315333</v>
      </c>
      <c r="M723" s="112">
        <f t="shared" si="475"/>
        <v>41851.881345809277</v>
      </c>
      <c r="N723" s="113">
        <f t="shared" si="475"/>
        <v>681027</v>
      </c>
      <c r="O723" s="113">
        <f t="shared" si="475"/>
        <v>90387.816046187538</v>
      </c>
      <c r="P723" s="114">
        <f t="shared" si="475"/>
        <v>82300</v>
      </c>
      <c r="Q723" s="114">
        <f t="shared" si="475"/>
        <v>66000</v>
      </c>
      <c r="R723" s="88">
        <f t="shared" si="475"/>
        <v>62420</v>
      </c>
      <c r="S723" s="90" t="e">
        <f t="shared" ca="1" si="475"/>
        <v>#NAME?</v>
      </c>
      <c r="T723" s="90"/>
      <c r="U723" s="90"/>
      <c r="V723" s="200">
        <f>V724+V727</f>
        <v>57500</v>
      </c>
      <c r="W723" s="200">
        <f>W724+W727</f>
        <v>57500</v>
      </c>
      <c r="X723" s="88">
        <f>X724+X727</f>
        <v>43000</v>
      </c>
      <c r="Y723" s="171">
        <f>Y724+Y727</f>
        <v>63000</v>
      </c>
      <c r="Z723" s="171">
        <f>Z724+Z727</f>
        <v>0</v>
      </c>
      <c r="AA723" s="370" t="e">
        <f t="shared" ca="1" si="443"/>
        <v>#NAME?</v>
      </c>
      <c r="AB723" s="171"/>
      <c r="AC723" s="172">
        <f>AC724+AC727</f>
        <v>83000</v>
      </c>
      <c r="AD723" s="172">
        <f>AD724+AD727</f>
        <v>83000</v>
      </c>
      <c r="AE723" s="178">
        <f>O723/M723*100</f>
        <v>215.9707356984521</v>
      </c>
      <c r="AF723" s="178">
        <f>P723/O723*100</f>
        <v>91.052094850864933</v>
      </c>
      <c r="AG723" s="178">
        <f>Q723/P723*100</f>
        <v>80.194410692588093</v>
      </c>
      <c r="AH723" s="178">
        <f>AC723/Q723*100</f>
        <v>125.75757575757575</v>
      </c>
      <c r="AI723" s="171"/>
      <c r="AJ723" s="171">
        <v>63000</v>
      </c>
      <c r="AK723" s="171">
        <f t="shared" si="445"/>
        <v>92.117910925985257</v>
      </c>
      <c r="AL723" s="171">
        <f t="shared" si="474"/>
        <v>74.782608695652172</v>
      </c>
      <c r="AM723" s="171">
        <f t="shared" si="474"/>
        <v>146.51162790697674</v>
      </c>
      <c r="AN723" s="90"/>
      <c r="AO723" s="193"/>
      <c r="AP723" s="193" t="e">
        <f t="shared" ca="1" si="442"/>
        <v>#NAME?</v>
      </c>
      <c r="AQ723" s="200">
        <f>AQ724+AQ727</f>
        <v>43428.57</v>
      </c>
      <c r="AR723" s="204">
        <f>V723/R723*100</f>
        <v>92.117910925985257</v>
      </c>
      <c r="AS723" s="204">
        <f>W723/V723*100</f>
        <v>100</v>
      </c>
      <c r="AT723" s="204">
        <f>W723/R723*100</f>
        <v>92.117910925985257</v>
      </c>
      <c r="AU723" s="204">
        <f>AQ723/W723*100</f>
        <v>75.527947826086958</v>
      </c>
      <c r="AV723" s="204">
        <f>AQ723/R723*100</f>
        <v>69.5747677026594</v>
      </c>
    </row>
    <row r="724" spans="1:48" ht="12" customHeight="1">
      <c r="A724" s="62"/>
      <c r="B724" s="62"/>
      <c r="C724" s="62"/>
      <c r="D724" s="62"/>
      <c r="E724" s="62"/>
      <c r="F724" s="62"/>
      <c r="G724" s="62"/>
      <c r="H724" s="304"/>
      <c r="I724" s="464"/>
      <c r="J724" s="303">
        <v>322</v>
      </c>
      <c r="K724" s="19" t="s">
        <v>477</v>
      </c>
      <c r="L724" s="112">
        <f t="shared" ref="L724:Z724" si="476">L725</f>
        <v>0</v>
      </c>
      <c r="M724" s="112">
        <f t="shared" si="476"/>
        <v>0</v>
      </c>
      <c r="N724" s="113">
        <f t="shared" si="476"/>
        <v>0</v>
      </c>
      <c r="O724" s="113">
        <f t="shared" si="476"/>
        <v>0</v>
      </c>
      <c r="P724" s="114">
        <f t="shared" si="476"/>
        <v>3000</v>
      </c>
      <c r="Q724" s="114">
        <f t="shared" si="476"/>
        <v>3000</v>
      </c>
      <c r="R724" s="88">
        <f t="shared" si="476"/>
        <v>2635</v>
      </c>
      <c r="S724" s="90" t="e">
        <f t="shared" ca="1" si="476"/>
        <v>#NAME?</v>
      </c>
      <c r="T724" s="90"/>
      <c r="U724" s="90"/>
      <c r="V724" s="200">
        <f t="shared" si="473"/>
        <v>500</v>
      </c>
      <c r="W724" s="200">
        <f t="shared" si="476"/>
        <v>500</v>
      </c>
      <c r="X724" s="88">
        <f t="shared" si="476"/>
        <v>3000</v>
      </c>
      <c r="Y724" s="171">
        <f t="shared" si="476"/>
        <v>3000</v>
      </c>
      <c r="Z724" s="171">
        <f t="shared" si="476"/>
        <v>0</v>
      </c>
      <c r="AA724" s="370" t="e">
        <f t="shared" ca="1" si="443"/>
        <v>#NAME?</v>
      </c>
      <c r="AB724" s="171"/>
      <c r="AC724" s="172">
        <f>AC725</f>
        <v>3000</v>
      </c>
      <c r="AD724" s="172">
        <f>AD725</f>
        <v>3000</v>
      </c>
      <c r="AE724" s="178"/>
      <c r="AF724" s="178"/>
      <c r="AG724" s="178"/>
      <c r="AH724" s="178"/>
      <c r="AI724" s="171"/>
      <c r="AJ724" s="171">
        <v>3000</v>
      </c>
      <c r="AK724" s="171">
        <f t="shared" si="445"/>
        <v>18.975332068311197</v>
      </c>
      <c r="AL724" s="171">
        <f t="shared" si="474"/>
        <v>600</v>
      </c>
      <c r="AM724" s="171">
        <f t="shared" si="474"/>
        <v>100</v>
      </c>
      <c r="AN724" s="90"/>
      <c r="AO724" s="460"/>
      <c r="AP724" s="193" t="e">
        <f t="shared" ca="1" si="442"/>
        <v>#NAME?</v>
      </c>
      <c r="AQ724" s="200">
        <f>AQ725</f>
        <v>0</v>
      </c>
      <c r="AR724" s="204">
        <f>V724/R724*100</f>
        <v>18.975332068311197</v>
      </c>
      <c r="AS724" s="204">
        <f>W724/V724*100</f>
        <v>100</v>
      </c>
      <c r="AT724" s="204">
        <f>W724/R724*100</f>
        <v>18.975332068311197</v>
      </c>
      <c r="AU724" s="204">
        <f>AQ724/W724*100</f>
        <v>0</v>
      </c>
      <c r="AV724" s="204">
        <f>AQ724/R724*100</f>
        <v>0</v>
      </c>
    </row>
    <row r="725" spans="1:48" ht="12" customHeight="1">
      <c r="A725" s="53"/>
      <c r="B725" s="53"/>
      <c r="C725" s="53"/>
      <c r="D725" s="53"/>
      <c r="E725" s="53"/>
      <c r="F725" s="53"/>
      <c r="G725" s="53"/>
      <c r="H725" s="1">
        <v>71</v>
      </c>
      <c r="I725" s="397">
        <v>660</v>
      </c>
      <c r="J725" s="229">
        <v>3224</v>
      </c>
      <c r="K725" s="18" t="s">
        <v>603</v>
      </c>
      <c r="L725" s="130">
        <v>0</v>
      </c>
      <c r="M725" s="130">
        <v>0</v>
      </c>
      <c r="N725" s="131">
        <v>0</v>
      </c>
      <c r="O725" s="131">
        <f>N725/7.5345</f>
        <v>0</v>
      </c>
      <c r="P725" s="132">
        <v>3000</v>
      </c>
      <c r="Q725" s="132">
        <v>3000</v>
      </c>
      <c r="R725" s="159">
        <v>2635</v>
      </c>
      <c r="S725" s="165" t="e">
        <f ca="1">__xlfn.XLOOKUP(H725,[1]Izvršenje_proračuna_po_pozicija!$B$2:$B$153,[1]Izvršenje_proračuna_po_pozicija!$E$2:$E$153,0)</f>
        <v>#NAME?</v>
      </c>
      <c r="T725" s="165"/>
      <c r="U725" s="165"/>
      <c r="V725" s="200">
        <v>500</v>
      </c>
      <c r="W725" s="200">
        <v>500</v>
      </c>
      <c r="X725" s="164">
        <v>3000</v>
      </c>
      <c r="Y725" s="378">
        <v>3000</v>
      </c>
      <c r="Z725" s="378"/>
      <c r="AA725" s="370" t="e">
        <f t="shared" ca="1" si="443"/>
        <v>#NAME?</v>
      </c>
      <c r="AB725" s="183"/>
      <c r="AC725" s="178">
        <v>3000</v>
      </c>
      <c r="AD725" s="178">
        <v>3000</v>
      </c>
      <c r="AE725" s="178"/>
      <c r="AF725" s="178"/>
      <c r="AG725" s="178"/>
      <c r="AH725" s="178"/>
      <c r="AI725" s="183"/>
      <c r="AJ725" s="378">
        <v>3000</v>
      </c>
      <c r="AK725" s="171">
        <f t="shared" si="445"/>
        <v>18.975332068311197</v>
      </c>
      <c r="AL725" s="171">
        <f t="shared" si="474"/>
        <v>600</v>
      </c>
      <c r="AM725" s="171">
        <f t="shared" si="474"/>
        <v>100</v>
      </c>
      <c r="AN725" s="165"/>
      <c r="AO725" s="193"/>
      <c r="AP725" s="193" t="e">
        <f t="shared" ca="1" si="442"/>
        <v>#NAME?</v>
      </c>
      <c r="AQ725" s="200"/>
      <c r="AR725" s="204">
        <f>V725/R725*100</f>
        <v>18.975332068311197</v>
      </c>
      <c r="AS725" s="204">
        <f>W725/V725*100</f>
        <v>100</v>
      </c>
      <c r="AT725" s="204">
        <f>W725/R725*100</f>
        <v>18.975332068311197</v>
      </c>
      <c r="AU725" s="204">
        <f>AQ725/W725*100</f>
        <v>0</v>
      </c>
      <c r="AV725" s="204">
        <f>AQ725/R725*100</f>
        <v>0</v>
      </c>
    </row>
    <row r="726" spans="1:48" ht="12" customHeight="1">
      <c r="A726" s="53"/>
      <c r="B726" s="53"/>
      <c r="C726" s="53"/>
      <c r="D726" s="53"/>
      <c r="E726" s="53"/>
      <c r="F726" s="53"/>
      <c r="G726" s="53"/>
      <c r="H726" s="1"/>
      <c r="I726" s="397"/>
      <c r="J726" s="229"/>
      <c r="K726" s="18"/>
      <c r="L726" s="119"/>
      <c r="M726" s="119"/>
      <c r="N726" s="120"/>
      <c r="O726" s="120"/>
      <c r="P726" s="121"/>
      <c r="Q726" s="121"/>
      <c r="R726" s="157"/>
      <c r="S726" s="165" t="e">
        <f ca="1">__xlfn.XLOOKUP(H726,[1]Izvršenje_proračuna_po_pozicija!$B$2:$B$153,[1]Izvršenje_proračuna_po_pozicija!$E$2:$E$153,0)</f>
        <v>#NAME?</v>
      </c>
      <c r="T726" s="165"/>
      <c r="U726" s="165"/>
      <c r="V726" s="200"/>
      <c r="W726" s="200"/>
      <c r="X726" s="164"/>
      <c r="Y726" s="369"/>
      <c r="Z726" s="369"/>
      <c r="AA726" s="370" t="e">
        <f t="shared" ca="1" si="443"/>
        <v>#NAME?</v>
      </c>
      <c r="AB726" s="179"/>
      <c r="AC726" s="180"/>
      <c r="AD726" s="180"/>
      <c r="AE726" s="178"/>
      <c r="AF726" s="178"/>
      <c r="AG726" s="178"/>
      <c r="AH726" s="178"/>
      <c r="AI726" s="179"/>
      <c r="AJ726" s="369"/>
      <c r="AK726" s="171"/>
      <c r="AL726" s="171"/>
      <c r="AM726" s="171"/>
      <c r="AN726" s="158"/>
      <c r="AO726" s="193"/>
      <c r="AP726" s="193" t="e">
        <f t="shared" ca="1" si="442"/>
        <v>#NAME?</v>
      </c>
      <c r="AQ726" s="200"/>
      <c r="AR726" s="204"/>
      <c r="AS726" s="204"/>
      <c r="AT726" s="204"/>
      <c r="AU726" s="204"/>
      <c r="AV726" s="204"/>
    </row>
    <row r="727" spans="1:48" ht="12" customHeight="1">
      <c r="A727" s="62"/>
      <c r="B727" s="62"/>
      <c r="C727" s="62"/>
      <c r="D727" s="62"/>
      <c r="E727" s="62"/>
      <c r="F727" s="62"/>
      <c r="G727" s="62"/>
      <c r="H727" s="304"/>
      <c r="I727" s="464"/>
      <c r="J727" s="303">
        <v>323</v>
      </c>
      <c r="K727" s="19" t="s">
        <v>356</v>
      </c>
      <c r="L727" s="112">
        <f t="shared" ref="L727:Z727" si="477">L728</f>
        <v>315333</v>
      </c>
      <c r="M727" s="112">
        <f t="shared" si="477"/>
        <v>41851.881345809277</v>
      </c>
      <c r="N727" s="113">
        <f t="shared" si="477"/>
        <v>681027</v>
      </c>
      <c r="O727" s="113">
        <f t="shared" si="477"/>
        <v>90387.816046187538</v>
      </c>
      <c r="P727" s="114">
        <f t="shared" si="477"/>
        <v>79300</v>
      </c>
      <c r="Q727" s="114">
        <f t="shared" si="477"/>
        <v>63000</v>
      </c>
      <c r="R727" s="88">
        <f t="shared" si="477"/>
        <v>59785</v>
      </c>
      <c r="S727" s="90" t="e">
        <f t="shared" ca="1" si="477"/>
        <v>#NAME?</v>
      </c>
      <c r="T727" s="90"/>
      <c r="U727" s="90"/>
      <c r="V727" s="200">
        <f t="shared" si="473"/>
        <v>57000</v>
      </c>
      <c r="W727" s="200">
        <f t="shared" si="477"/>
        <v>57000</v>
      </c>
      <c r="X727" s="88">
        <f t="shared" si="477"/>
        <v>40000</v>
      </c>
      <c r="Y727" s="171">
        <f t="shared" si="477"/>
        <v>60000</v>
      </c>
      <c r="Z727" s="171">
        <f t="shared" si="477"/>
        <v>0</v>
      </c>
      <c r="AA727" s="370" t="e">
        <f t="shared" ca="1" si="443"/>
        <v>#NAME?</v>
      </c>
      <c r="AB727" s="171"/>
      <c r="AC727" s="172">
        <f>AC728</f>
        <v>80000</v>
      </c>
      <c r="AD727" s="172">
        <f>AD728</f>
        <v>80000</v>
      </c>
      <c r="AE727" s="178">
        <f>O727/M727*100</f>
        <v>215.9707356984521</v>
      </c>
      <c r="AF727" s="178">
        <f>P727/O727*100</f>
        <v>87.733063446823692</v>
      </c>
      <c r="AG727" s="178">
        <f>Q727/P727*100</f>
        <v>79.445145018915511</v>
      </c>
      <c r="AH727" s="178">
        <f>AC727/Q727*100</f>
        <v>126.98412698412697</v>
      </c>
      <c r="AI727" s="171"/>
      <c r="AJ727" s="171">
        <v>60000</v>
      </c>
      <c r="AK727" s="171">
        <f>W727/R727*100</f>
        <v>95.341640879819352</v>
      </c>
      <c r="AL727" s="171">
        <f>X727/W727*100</f>
        <v>70.175438596491219</v>
      </c>
      <c r="AM727" s="171">
        <f>Y727/X727*100</f>
        <v>150</v>
      </c>
      <c r="AN727" s="90"/>
      <c r="AO727" s="460"/>
      <c r="AP727" s="193" t="e">
        <f t="shared" ca="1" si="442"/>
        <v>#NAME?</v>
      </c>
      <c r="AQ727" s="200">
        <f>AQ728</f>
        <v>43428.57</v>
      </c>
      <c r="AR727" s="204">
        <f>V727/R727*100</f>
        <v>95.341640879819352</v>
      </c>
      <c r="AS727" s="204">
        <f>W727/V727*100</f>
        <v>100</v>
      </c>
      <c r="AT727" s="204">
        <f>W727/R727*100</f>
        <v>95.341640879819352</v>
      </c>
      <c r="AU727" s="204">
        <f>AQ727/W727*100</f>
        <v>76.190473684210531</v>
      </c>
      <c r="AV727" s="204">
        <f>AQ727/R727*100</f>
        <v>72.641247804633267</v>
      </c>
    </row>
    <row r="728" spans="1:48" ht="12" customHeight="1">
      <c r="A728" s="53"/>
      <c r="B728" s="53"/>
      <c r="C728" s="53"/>
      <c r="D728" s="53"/>
      <c r="E728" s="53"/>
      <c r="F728" s="53"/>
      <c r="G728" s="53"/>
      <c r="H728" s="1">
        <v>90</v>
      </c>
      <c r="I728" s="397">
        <v>660</v>
      </c>
      <c r="J728" s="229">
        <v>3232</v>
      </c>
      <c r="K728" s="18" t="s">
        <v>604</v>
      </c>
      <c r="L728" s="130">
        <v>315333</v>
      </c>
      <c r="M728" s="130">
        <f>315333/7.5345</f>
        <v>41851.881345809277</v>
      </c>
      <c r="N728" s="131">
        <v>681027</v>
      </c>
      <c r="O728" s="131">
        <f>N728/7.5345</f>
        <v>90387.816046187538</v>
      </c>
      <c r="P728" s="132">
        <f>P729+P730+P731+P732</f>
        <v>79300</v>
      </c>
      <c r="Q728" s="163">
        <f>Q729+Q730+Q731+Q732</f>
        <v>63000</v>
      </c>
      <c r="R728" s="159">
        <v>59785</v>
      </c>
      <c r="S728" s="165" t="e">
        <f ca="1">__xlfn.XLOOKUP(H728,[1]Izvršenje_proračuna_po_pozicija!$B$2:$B$153,[1]Izvršenje_proračuna_po_pozicija!$E$2:$E$153,0)</f>
        <v>#NAME?</v>
      </c>
      <c r="T728" s="165"/>
      <c r="U728" s="165"/>
      <c r="V728" s="200">
        <v>57000</v>
      </c>
      <c r="W728" s="200">
        <v>57000</v>
      </c>
      <c r="X728" s="164">
        <v>40000</v>
      </c>
      <c r="Y728" s="378">
        <v>60000</v>
      </c>
      <c r="Z728" s="378"/>
      <c r="AA728" s="370" t="e">
        <f t="shared" ca="1" si="443"/>
        <v>#NAME?</v>
      </c>
      <c r="AB728" s="183"/>
      <c r="AC728" s="178">
        <v>80000</v>
      </c>
      <c r="AD728" s="178">
        <v>80000</v>
      </c>
      <c r="AE728" s="178">
        <f>O728/M728*100</f>
        <v>215.9707356984521</v>
      </c>
      <c r="AF728" s="178">
        <f>P728/O728*100</f>
        <v>87.733063446823692</v>
      </c>
      <c r="AG728" s="178">
        <f>Q728/P728*100</f>
        <v>79.445145018915511</v>
      </c>
      <c r="AH728" s="178">
        <f>AC728/Q728*100</f>
        <v>126.98412698412697</v>
      </c>
      <c r="AI728" s="183"/>
      <c r="AJ728" s="378">
        <v>60000</v>
      </c>
      <c r="AK728" s="171">
        <f>W728/R728*100</f>
        <v>95.341640879819352</v>
      </c>
      <c r="AL728" s="171">
        <f>X728/W728*100</f>
        <v>70.175438596491219</v>
      </c>
      <c r="AM728" s="171">
        <f>Y728/X728*100</f>
        <v>150</v>
      </c>
      <c r="AN728" s="165"/>
      <c r="AO728" s="193"/>
      <c r="AP728" s="193" t="e">
        <f t="shared" ca="1" si="442"/>
        <v>#NAME?</v>
      </c>
      <c r="AQ728" s="200">
        <v>43428.57</v>
      </c>
      <c r="AR728" s="204">
        <f>V728/R728*100</f>
        <v>95.341640879819352</v>
      </c>
      <c r="AS728" s="204">
        <f>W728/V728*100</f>
        <v>100</v>
      </c>
      <c r="AT728" s="204">
        <f>W728/R728*100</f>
        <v>95.341640879819352</v>
      </c>
      <c r="AU728" s="204">
        <f>AQ728/W728*100</f>
        <v>76.190473684210531</v>
      </c>
      <c r="AV728" s="204">
        <f>AQ728/R728*100</f>
        <v>72.641247804633267</v>
      </c>
    </row>
    <row r="729" spans="1:48" ht="12" customHeight="1">
      <c r="A729" s="53"/>
      <c r="B729" s="53"/>
      <c r="C729" s="53"/>
      <c r="D729" s="53"/>
      <c r="E729" s="53"/>
      <c r="F729" s="53"/>
      <c r="G729" s="53"/>
      <c r="H729" s="1"/>
      <c r="I729" s="397"/>
      <c r="J729" s="229"/>
      <c r="K729" s="18" t="s">
        <v>605</v>
      </c>
      <c r="L729" s="130"/>
      <c r="M729" s="130"/>
      <c r="N729" s="131"/>
      <c r="O729" s="131"/>
      <c r="P729" s="132">
        <v>10000</v>
      </c>
      <c r="Q729" s="132">
        <v>0</v>
      </c>
      <c r="R729" s="159">
        <v>0</v>
      </c>
      <c r="S729" s="165" t="e">
        <f ca="1">__xlfn.XLOOKUP(H729,[1]Izvršenje_proračuna_po_pozicija!$B$2:$B$153,[1]Izvršenje_proračuna_po_pozicija!$E$2:$E$153,0)</f>
        <v>#NAME?</v>
      </c>
      <c r="T729" s="165"/>
      <c r="U729" s="165"/>
      <c r="V729" s="200"/>
      <c r="W729" s="200"/>
      <c r="X729" s="164"/>
      <c r="Y729" s="378"/>
      <c r="Z729" s="378"/>
      <c r="AA729" s="370" t="e">
        <f t="shared" ca="1" si="443"/>
        <v>#NAME?</v>
      </c>
      <c r="AB729" s="183"/>
      <c r="AC729" s="178"/>
      <c r="AD729" s="178"/>
      <c r="AE729" s="178"/>
      <c r="AF729" s="178"/>
      <c r="AG729" s="178"/>
      <c r="AH729" s="178"/>
      <c r="AI729" s="183"/>
      <c r="AJ729" s="378"/>
      <c r="AK729" s="171"/>
      <c r="AL729" s="171"/>
      <c r="AM729" s="171"/>
      <c r="AN729" s="165"/>
      <c r="AO729" s="193"/>
      <c r="AP729" s="193" t="e">
        <f t="shared" ca="1" si="442"/>
        <v>#NAME?</v>
      </c>
      <c r="AQ729" s="200"/>
      <c r="AR729" s="204"/>
      <c r="AS729" s="204"/>
      <c r="AT729" s="204"/>
      <c r="AU729" s="204"/>
      <c r="AV729" s="204"/>
    </row>
    <row r="730" spans="1:48" ht="12" customHeight="1">
      <c r="A730" s="53"/>
      <c r="B730" s="53"/>
      <c r="C730" s="53"/>
      <c r="D730" s="53"/>
      <c r="E730" s="53"/>
      <c r="F730" s="53"/>
      <c r="G730" s="53"/>
      <c r="H730" s="1"/>
      <c r="I730" s="397"/>
      <c r="J730" s="229"/>
      <c r="K730" s="18" t="s">
        <v>606</v>
      </c>
      <c r="L730" s="130"/>
      <c r="M730" s="130"/>
      <c r="N730" s="131"/>
      <c r="O730" s="131"/>
      <c r="P730" s="132">
        <v>5300</v>
      </c>
      <c r="Q730" s="132">
        <v>0</v>
      </c>
      <c r="R730" s="159">
        <v>0</v>
      </c>
      <c r="S730" s="165" t="e">
        <f ca="1">__xlfn.XLOOKUP(H730,[1]Izvršenje_proračuna_po_pozicija!$B$2:$B$153,[1]Izvršenje_proračuna_po_pozicija!$E$2:$E$153,0)</f>
        <v>#NAME?</v>
      </c>
      <c r="T730" s="165"/>
      <c r="U730" s="165"/>
      <c r="V730" s="200"/>
      <c r="W730" s="200"/>
      <c r="X730" s="164"/>
      <c r="Y730" s="378"/>
      <c r="Z730" s="378"/>
      <c r="AA730" s="370" t="e">
        <f t="shared" ca="1" si="443"/>
        <v>#NAME?</v>
      </c>
      <c r="AB730" s="183"/>
      <c r="AC730" s="178"/>
      <c r="AD730" s="178"/>
      <c r="AE730" s="178"/>
      <c r="AF730" s="178"/>
      <c r="AG730" s="178"/>
      <c r="AH730" s="178"/>
      <c r="AI730" s="183"/>
      <c r="AJ730" s="378"/>
      <c r="AK730" s="171"/>
      <c r="AL730" s="171"/>
      <c r="AM730" s="171"/>
      <c r="AN730" s="165"/>
      <c r="AO730" s="193"/>
      <c r="AP730" s="193" t="e">
        <f t="shared" ca="1" si="442"/>
        <v>#NAME?</v>
      </c>
      <c r="AQ730" s="200"/>
      <c r="AR730" s="204"/>
      <c r="AS730" s="204"/>
      <c r="AT730" s="204"/>
      <c r="AU730" s="204"/>
      <c r="AV730" s="204"/>
    </row>
    <row r="731" spans="1:48" ht="12" customHeight="1">
      <c r="A731" s="53"/>
      <c r="B731" s="53"/>
      <c r="C731" s="53"/>
      <c r="D731" s="53"/>
      <c r="E731" s="53"/>
      <c r="F731" s="53"/>
      <c r="G731" s="53"/>
      <c r="H731" s="1"/>
      <c r="I731" s="397"/>
      <c r="J731" s="229"/>
      <c r="K731" s="18" t="s">
        <v>607</v>
      </c>
      <c r="L731" s="130"/>
      <c r="M731" s="130"/>
      <c r="N731" s="131"/>
      <c r="O731" s="131"/>
      <c r="P731" s="132">
        <v>14000</v>
      </c>
      <c r="Q731" s="132">
        <v>0</v>
      </c>
      <c r="R731" s="159">
        <v>0</v>
      </c>
      <c r="S731" s="165" t="e">
        <f ca="1">__xlfn.XLOOKUP(H731,[1]Izvršenje_proračuna_po_pozicija!$B$2:$B$153,[1]Izvršenje_proračuna_po_pozicija!$E$2:$E$153,0)</f>
        <v>#NAME?</v>
      </c>
      <c r="T731" s="165"/>
      <c r="U731" s="165"/>
      <c r="V731" s="200"/>
      <c r="W731" s="200"/>
      <c r="X731" s="164"/>
      <c r="Y731" s="378"/>
      <c r="Z731" s="378"/>
      <c r="AA731" s="370" t="e">
        <f t="shared" ca="1" si="443"/>
        <v>#NAME?</v>
      </c>
      <c r="AB731" s="183"/>
      <c r="AC731" s="178"/>
      <c r="AD731" s="178"/>
      <c r="AE731" s="178"/>
      <c r="AF731" s="178"/>
      <c r="AG731" s="178"/>
      <c r="AH731" s="178"/>
      <c r="AI731" s="183"/>
      <c r="AJ731" s="378"/>
      <c r="AK731" s="171"/>
      <c r="AL731" s="171"/>
      <c r="AM731" s="171"/>
      <c r="AN731" s="165"/>
      <c r="AO731" s="193"/>
      <c r="AP731" s="193" t="e">
        <f t="shared" ca="1" si="442"/>
        <v>#NAME?</v>
      </c>
      <c r="AQ731" s="200"/>
      <c r="AR731" s="204"/>
      <c r="AS731" s="204"/>
      <c r="AT731" s="204"/>
      <c r="AU731" s="204"/>
      <c r="AV731" s="204"/>
    </row>
    <row r="732" spans="1:48" ht="12" customHeight="1">
      <c r="A732" s="53"/>
      <c r="B732" s="53"/>
      <c r="C732" s="53"/>
      <c r="D732" s="53"/>
      <c r="E732" s="53"/>
      <c r="F732" s="53"/>
      <c r="G732" s="53"/>
      <c r="H732" s="1"/>
      <c r="I732" s="397"/>
      <c r="J732" s="229"/>
      <c r="K732" s="18" t="s">
        <v>608</v>
      </c>
      <c r="L732" s="130"/>
      <c r="M732" s="130"/>
      <c r="N732" s="131"/>
      <c r="O732" s="131"/>
      <c r="P732" s="132">
        <v>50000</v>
      </c>
      <c r="Q732" s="132">
        <v>63000</v>
      </c>
      <c r="R732" s="159">
        <v>0</v>
      </c>
      <c r="S732" s="165" t="e">
        <f ca="1">__xlfn.XLOOKUP(H732,[1]Izvršenje_proračuna_po_pozicija!$B$2:$B$153,[1]Izvršenje_proračuna_po_pozicija!$E$2:$E$153,0)</f>
        <v>#NAME?</v>
      </c>
      <c r="T732" s="165"/>
      <c r="U732" s="165"/>
      <c r="V732" s="200"/>
      <c r="W732" s="200"/>
      <c r="X732" s="164"/>
      <c r="Y732" s="378"/>
      <c r="Z732" s="378"/>
      <c r="AA732" s="370" t="e">
        <f t="shared" ca="1" si="443"/>
        <v>#NAME?</v>
      </c>
      <c r="AB732" s="183"/>
      <c r="AC732" s="178"/>
      <c r="AD732" s="178"/>
      <c r="AE732" s="178"/>
      <c r="AF732" s="178"/>
      <c r="AG732" s="178"/>
      <c r="AH732" s="178"/>
      <c r="AI732" s="183"/>
      <c r="AJ732" s="378"/>
      <c r="AK732" s="171"/>
      <c r="AL732" s="171"/>
      <c r="AM732" s="171"/>
      <c r="AN732" s="165"/>
      <c r="AO732" s="193"/>
      <c r="AP732" s="193" t="e">
        <f t="shared" ca="1" si="442"/>
        <v>#NAME?</v>
      </c>
      <c r="AQ732" s="200"/>
      <c r="AR732" s="204"/>
      <c r="AS732" s="204"/>
      <c r="AT732" s="204"/>
      <c r="AU732" s="204"/>
      <c r="AV732" s="204"/>
    </row>
    <row r="733" spans="1:48" ht="12" customHeight="1">
      <c r="A733" s="69"/>
      <c r="B733" s="69"/>
      <c r="C733" s="69"/>
      <c r="D733" s="69"/>
      <c r="E733" s="69"/>
      <c r="F733" s="69"/>
      <c r="G733" s="69"/>
      <c r="H733" s="436"/>
      <c r="I733" s="3"/>
      <c r="J733" s="7"/>
      <c r="K733" s="7"/>
      <c r="L733" s="85"/>
      <c r="M733" s="85"/>
      <c r="N733" s="86"/>
      <c r="O733" s="86"/>
      <c r="P733" s="87"/>
      <c r="Q733" s="87"/>
      <c r="R733" s="160"/>
      <c r="S733" s="165" t="e">
        <f ca="1">__xlfn.XLOOKUP(H733,[1]Izvršenje_proračuna_po_pozicija!$B$2:$B$153,[1]Izvršenje_proračuna_po_pozicija!$E$2:$E$153,0)</f>
        <v>#NAME?</v>
      </c>
      <c r="T733" s="165"/>
      <c r="U733" s="165"/>
      <c r="V733" s="200"/>
      <c r="W733" s="200"/>
      <c r="X733" s="361"/>
      <c r="Y733" s="373"/>
      <c r="Z733" s="373"/>
      <c r="AA733" s="370" t="e">
        <f t="shared" ca="1" si="443"/>
        <v>#NAME?</v>
      </c>
      <c r="AB733" s="181"/>
      <c r="AC733" s="182"/>
      <c r="AD733" s="182"/>
      <c r="AE733" s="178"/>
      <c r="AF733" s="178"/>
      <c r="AG733" s="178"/>
      <c r="AH733" s="178"/>
      <c r="AI733" s="181"/>
      <c r="AJ733" s="373"/>
      <c r="AK733" s="171"/>
      <c r="AL733" s="171"/>
      <c r="AM733" s="171"/>
      <c r="AN733" s="161"/>
      <c r="AO733" s="193"/>
      <c r="AP733" s="193" t="e">
        <f t="shared" ca="1" si="442"/>
        <v>#NAME?</v>
      </c>
      <c r="AQ733" s="200"/>
      <c r="AR733" s="204"/>
      <c r="AS733" s="204"/>
      <c r="AT733" s="204"/>
      <c r="AU733" s="204"/>
      <c r="AV733" s="204"/>
    </row>
    <row r="734" spans="1:48" ht="12" customHeight="1">
      <c r="A734" s="390" t="s">
        <v>609</v>
      </c>
      <c r="B734" s="391"/>
      <c r="C734" s="391"/>
      <c r="D734" s="391"/>
      <c r="E734" s="391"/>
      <c r="F734" s="391"/>
      <c r="G734" s="391"/>
      <c r="H734" s="392"/>
      <c r="I734" s="485" t="s">
        <v>610</v>
      </c>
      <c r="J734" s="486"/>
      <c r="K734" s="300"/>
      <c r="L734" s="112">
        <f t="shared" ref="L734:S734" si="478">L736</f>
        <v>0</v>
      </c>
      <c r="M734" s="112">
        <f t="shared" si="478"/>
        <v>0</v>
      </c>
      <c r="N734" s="113">
        <f t="shared" si="478"/>
        <v>0</v>
      </c>
      <c r="O734" s="113">
        <f t="shared" si="478"/>
        <v>0</v>
      </c>
      <c r="P734" s="114">
        <f t="shared" si="478"/>
        <v>40000</v>
      </c>
      <c r="Q734" s="114">
        <f t="shared" si="478"/>
        <v>0</v>
      </c>
      <c r="R734" s="88">
        <f t="shared" si="478"/>
        <v>0</v>
      </c>
      <c r="S734" s="90" t="e">
        <f t="shared" ca="1" si="478"/>
        <v>#NAME?</v>
      </c>
      <c r="T734" s="90"/>
      <c r="U734" s="90"/>
      <c r="V734" s="200">
        <f>V736</f>
        <v>0</v>
      </c>
      <c r="W734" s="200">
        <f>W736</f>
        <v>0</v>
      </c>
      <c r="X734" s="88">
        <f>X736</f>
        <v>40000</v>
      </c>
      <c r="Y734" s="171">
        <f>Y736</f>
        <v>0</v>
      </c>
      <c r="Z734" s="171">
        <f>Z736</f>
        <v>0</v>
      </c>
      <c r="AA734" s="370" t="e">
        <f t="shared" ca="1" si="443"/>
        <v>#NAME?</v>
      </c>
      <c r="AB734" s="171"/>
      <c r="AC734" s="172">
        <f>AC736</f>
        <v>0</v>
      </c>
      <c r="AD734" s="172">
        <f>AD736</f>
        <v>0</v>
      </c>
      <c r="AE734" s="178"/>
      <c r="AF734" s="178"/>
      <c r="AG734" s="178"/>
      <c r="AH734" s="178"/>
      <c r="AI734" s="171"/>
      <c r="AJ734" s="171">
        <v>0</v>
      </c>
      <c r="AK734" s="171"/>
      <c r="AL734" s="171"/>
      <c r="AM734" s="171">
        <f>Y734/X734*100</f>
        <v>0</v>
      </c>
      <c r="AN734" s="90"/>
      <c r="AO734" s="193"/>
      <c r="AP734" s="193" t="e">
        <f t="shared" ca="1" si="442"/>
        <v>#NAME?</v>
      </c>
      <c r="AQ734" s="200">
        <f>AQ736</f>
        <v>0</v>
      </c>
      <c r="AR734" s="204"/>
      <c r="AS734" s="204"/>
      <c r="AT734" s="204"/>
      <c r="AU734" s="204"/>
      <c r="AV734" s="204"/>
    </row>
    <row r="735" spans="1:48" ht="12" customHeight="1">
      <c r="A735" s="53"/>
      <c r="B735" s="53"/>
      <c r="C735" s="53"/>
      <c r="D735" s="53"/>
      <c r="E735" s="53"/>
      <c r="F735" s="53"/>
      <c r="G735" s="53"/>
      <c r="H735" s="1"/>
      <c r="I735" s="397"/>
      <c r="J735" s="229"/>
      <c r="K735" s="18"/>
      <c r="L735" s="466"/>
      <c r="M735" s="466"/>
      <c r="N735" s="467"/>
      <c r="O735" s="467"/>
      <c r="P735" s="468"/>
      <c r="Q735" s="468"/>
      <c r="R735" s="282"/>
      <c r="S735" s="165" t="e">
        <f ca="1">__xlfn.XLOOKUP(H735,[1]Izvršenje_proračuna_po_pozicija!$B$2:$B$153,[1]Izvršenje_proračuna_po_pozicija!$E$2:$E$153,0)</f>
        <v>#NAME?</v>
      </c>
      <c r="T735" s="165"/>
      <c r="U735" s="165"/>
      <c r="V735" s="200"/>
      <c r="W735" s="200"/>
      <c r="X735" s="167"/>
      <c r="Y735" s="424"/>
      <c r="Z735" s="424"/>
      <c r="AA735" s="370" t="e">
        <f t="shared" ca="1" si="443"/>
        <v>#NAME?</v>
      </c>
      <c r="AB735" s="223"/>
      <c r="AC735" s="224"/>
      <c r="AD735" s="224"/>
      <c r="AE735" s="178"/>
      <c r="AF735" s="178"/>
      <c r="AG735" s="178"/>
      <c r="AH735" s="178"/>
      <c r="AI735" s="223"/>
      <c r="AJ735" s="424"/>
      <c r="AK735" s="171"/>
      <c r="AL735" s="171"/>
      <c r="AM735" s="171"/>
      <c r="AN735" s="222"/>
      <c r="AO735" s="193"/>
      <c r="AP735" s="193" t="e">
        <f t="shared" ref="AP735:AP798" ca="1" si="479">__xlfn.ISFORMULA(X735)</f>
        <v>#NAME?</v>
      </c>
      <c r="AQ735" s="200"/>
      <c r="AR735" s="204"/>
      <c r="AS735" s="204"/>
      <c r="AT735" s="204"/>
      <c r="AU735" s="204"/>
      <c r="AV735" s="204"/>
    </row>
    <row r="736" spans="1:48" ht="12" customHeight="1">
      <c r="A736" s="24"/>
      <c r="B736" s="24"/>
      <c r="C736" s="24"/>
      <c r="D736" s="24"/>
      <c r="E736" s="24"/>
      <c r="F736" s="24"/>
      <c r="G736" s="24"/>
      <c r="H736" s="393"/>
      <c r="I736" s="465"/>
      <c r="J736" s="281">
        <v>4</v>
      </c>
      <c r="K736" s="2" t="s">
        <v>611</v>
      </c>
      <c r="L736" s="112">
        <f t="shared" ref="L736:Z738" si="480">L737</f>
        <v>0</v>
      </c>
      <c r="M736" s="112">
        <f t="shared" si="480"/>
        <v>0</v>
      </c>
      <c r="N736" s="113">
        <f t="shared" si="480"/>
        <v>0</v>
      </c>
      <c r="O736" s="113">
        <f t="shared" si="480"/>
        <v>0</v>
      </c>
      <c r="P736" s="114">
        <f t="shared" si="480"/>
        <v>40000</v>
      </c>
      <c r="Q736" s="114">
        <f t="shared" si="480"/>
        <v>0</v>
      </c>
      <c r="R736" s="88">
        <f t="shared" si="480"/>
        <v>0</v>
      </c>
      <c r="S736" s="90" t="e">
        <f t="shared" ca="1" si="480"/>
        <v>#NAME?</v>
      </c>
      <c r="T736" s="90"/>
      <c r="U736" s="90"/>
      <c r="V736" s="200">
        <f>V737</f>
        <v>0</v>
      </c>
      <c r="W736" s="200">
        <f t="shared" si="480"/>
        <v>0</v>
      </c>
      <c r="X736" s="88">
        <f t="shared" si="480"/>
        <v>40000</v>
      </c>
      <c r="Y736" s="171">
        <f t="shared" si="480"/>
        <v>0</v>
      </c>
      <c r="Z736" s="171">
        <f t="shared" si="480"/>
        <v>0</v>
      </c>
      <c r="AA736" s="370" t="e">
        <f t="shared" ca="1" si="443"/>
        <v>#NAME?</v>
      </c>
      <c r="AB736" s="171"/>
      <c r="AC736" s="172">
        <f t="shared" ref="AC736:AD738" si="481">AC737</f>
        <v>0</v>
      </c>
      <c r="AD736" s="172">
        <f t="shared" si="481"/>
        <v>0</v>
      </c>
      <c r="AE736" s="178"/>
      <c r="AF736" s="178"/>
      <c r="AG736" s="178"/>
      <c r="AH736" s="178"/>
      <c r="AI736" s="171"/>
      <c r="AJ736" s="171">
        <v>0</v>
      </c>
      <c r="AK736" s="171"/>
      <c r="AL736" s="171"/>
      <c r="AM736" s="171">
        <f>Y736/X736*100</f>
        <v>0</v>
      </c>
      <c r="AN736" s="90"/>
      <c r="AO736" s="193"/>
      <c r="AP736" s="193" t="e">
        <f t="shared" ca="1" si="479"/>
        <v>#NAME?</v>
      </c>
      <c r="AQ736" s="200">
        <f>AQ737</f>
        <v>0</v>
      </c>
      <c r="AR736" s="204"/>
      <c r="AS736" s="204"/>
      <c r="AT736" s="204"/>
      <c r="AU736" s="204"/>
      <c r="AV736" s="204"/>
    </row>
    <row r="737" spans="1:48" ht="12" customHeight="1">
      <c r="A737" s="301"/>
      <c r="B737" s="301"/>
      <c r="C737" s="301"/>
      <c r="D737" s="301"/>
      <c r="E737" s="301"/>
      <c r="F737" s="301"/>
      <c r="G737" s="301"/>
      <c r="H737" s="307"/>
      <c r="I737" s="350"/>
      <c r="J737" s="302">
        <v>42</v>
      </c>
      <c r="K737" s="343" t="s">
        <v>612</v>
      </c>
      <c r="L737" s="112">
        <f t="shared" si="480"/>
        <v>0</v>
      </c>
      <c r="M737" s="112">
        <f t="shared" si="480"/>
        <v>0</v>
      </c>
      <c r="N737" s="113">
        <f t="shared" si="480"/>
        <v>0</v>
      </c>
      <c r="O737" s="113">
        <f t="shared" si="480"/>
        <v>0</v>
      </c>
      <c r="P737" s="114">
        <f t="shared" si="480"/>
        <v>40000</v>
      </c>
      <c r="Q737" s="114">
        <f t="shared" si="480"/>
        <v>0</v>
      </c>
      <c r="R737" s="88">
        <f t="shared" si="480"/>
        <v>0</v>
      </c>
      <c r="S737" s="90" t="e">
        <f t="shared" ca="1" si="480"/>
        <v>#NAME?</v>
      </c>
      <c r="T737" s="90"/>
      <c r="U737" s="90"/>
      <c r="V737" s="200">
        <f>V738</f>
        <v>0</v>
      </c>
      <c r="W737" s="200">
        <f t="shared" si="480"/>
        <v>0</v>
      </c>
      <c r="X737" s="88">
        <f t="shared" si="480"/>
        <v>40000</v>
      </c>
      <c r="Y737" s="171">
        <f t="shared" si="480"/>
        <v>0</v>
      </c>
      <c r="Z737" s="171">
        <f t="shared" si="480"/>
        <v>0</v>
      </c>
      <c r="AA737" s="370" t="e">
        <f t="shared" ref="AA737:AA800" ca="1" si="482">__xlfn.ISFORMULA(R737)</f>
        <v>#NAME?</v>
      </c>
      <c r="AB737" s="171"/>
      <c r="AC737" s="172">
        <f t="shared" si="481"/>
        <v>0</v>
      </c>
      <c r="AD737" s="172">
        <f t="shared" si="481"/>
        <v>0</v>
      </c>
      <c r="AE737" s="178"/>
      <c r="AF737" s="178"/>
      <c r="AG737" s="178"/>
      <c r="AH737" s="178"/>
      <c r="AI737" s="171"/>
      <c r="AJ737" s="171">
        <v>0</v>
      </c>
      <c r="AK737" s="171"/>
      <c r="AL737" s="171"/>
      <c r="AM737" s="171">
        <f>Y737/X737*100</f>
        <v>0</v>
      </c>
      <c r="AN737" s="90"/>
      <c r="AO737" s="193"/>
      <c r="AP737" s="193" t="e">
        <f t="shared" ca="1" si="479"/>
        <v>#NAME?</v>
      </c>
      <c r="AQ737" s="200">
        <f>AQ738</f>
        <v>0</v>
      </c>
      <c r="AR737" s="204"/>
      <c r="AS737" s="204"/>
      <c r="AT737" s="204"/>
      <c r="AU737" s="204"/>
      <c r="AV737" s="204"/>
    </row>
    <row r="738" spans="1:48" ht="12" customHeight="1">
      <c r="A738" s="62"/>
      <c r="B738" s="62"/>
      <c r="C738" s="62"/>
      <c r="D738" s="62"/>
      <c r="E738" s="62"/>
      <c r="F738" s="62"/>
      <c r="G738" s="62"/>
      <c r="H738" s="304"/>
      <c r="I738" s="464"/>
      <c r="J738" s="303">
        <v>421</v>
      </c>
      <c r="K738" s="19" t="s">
        <v>465</v>
      </c>
      <c r="L738" s="112">
        <f t="shared" si="480"/>
        <v>0</v>
      </c>
      <c r="M738" s="112">
        <f t="shared" si="480"/>
        <v>0</v>
      </c>
      <c r="N738" s="113">
        <f t="shared" si="480"/>
        <v>0</v>
      </c>
      <c r="O738" s="113">
        <f t="shared" si="480"/>
        <v>0</v>
      </c>
      <c r="P738" s="114">
        <f t="shared" si="480"/>
        <v>40000</v>
      </c>
      <c r="Q738" s="114">
        <f t="shared" si="480"/>
        <v>0</v>
      </c>
      <c r="R738" s="88">
        <f t="shared" si="480"/>
        <v>0</v>
      </c>
      <c r="S738" s="90" t="e">
        <f t="shared" ca="1" si="480"/>
        <v>#NAME?</v>
      </c>
      <c r="T738" s="90"/>
      <c r="U738" s="90"/>
      <c r="V738" s="200">
        <f>V739</f>
        <v>0</v>
      </c>
      <c r="W738" s="200">
        <f t="shared" si="480"/>
        <v>0</v>
      </c>
      <c r="X738" s="88">
        <f t="shared" si="480"/>
        <v>40000</v>
      </c>
      <c r="Y738" s="171">
        <f t="shared" si="480"/>
        <v>0</v>
      </c>
      <c r="Z738" s="171">
        <f t="shared" si="480"/>
        <v>0</v>
      </c>
      <c r="AA738" s="370" t="e">
        <f t="shared" ca="1" si="482"/>
        <v>#NAME?</v>
      </c>
      <c r="AB738" s="171"/>
      <c r="AC738" s="172">
        <f t="shared" si="481"/>
        <v>0</v>
      </c>
      <c r="AD738" s="172">
        <f t="shared" si="481"/>
        <v>0</v>
      </c>
      <c r="AE738" s="178"/>
      <c r="AF738" s="178"/>
      <c r="AG738" s="178"/>
      <c r="AH738" s="178"/>
      <c r="AI738" s="171"/>
      <c r="AJ738" s="171">
        <v>0</v>
      </c>
      <c r="AK738" s="171"/>
      <c r="AL738" s="171"/>
      <c r="AM738" s="171">
        <f>Y738/X738*100</f>
        <v>0</v>
      </c>
      <c r="AN738" s="90"/>
      <c r="AO738" s="193"/>
      <c r="AP738" s="193" t="e">
        <f t="shared" ca="1" si="479"/>
        <v>#NAME?</v>
      </c>
      <c r="AQ738" s="200">
        <f>AQ739</f>
        <v>0</v>
      </c>
      <c r="AR738" s="204"/>
      <c r="AS738" s="204"/>
      <c r="AT738" s="204"/>
      <c r="AU738" s="204"/>
      <c r="AV738" s="204"/>
    </row>
    <row r="739" spans="1:48" ht="12" customHeight="1">
      <c r="A739" s="53"/>
      <c r="B739" s="53"/>
      <c r="C739" s="53"/>
      <c r="D739" s="53"/>
      <c r="E739" s="53"/>
      <c r="F739" s="53"/>
      <c r="G739" s="53"/>
      <c r="H739" s="1" t="s">
        <v>613</v>
      </c>
      <c r="I739" s="397">
        <v>660</v>
      </c>
      <c r="J739" s="229">
        <v>4212</v>
      </c>
      <c r="K739" s="18" t="s">
        <v>614</v>
      </c>
      <c r="L739" s="130">
        <v>0</v>
      </c>
      <c r="M739" s="130">
        <v>0</v>
      </c>
      <c r="N739" s="131">
        <v>0</v>
      </c>
      <c r="O739" s="131">
        <v>0</v>
      </c>
      <c r="P739" s="132">
        <v>40000</v>
      </c>
      <c r="Q739" s="163">
        <v>0</v>
      </c>
      <c r="R739" s="159">
        <v>0</v>
      </c>
      <c r="S739" s="165" t="e">
        <f ca="1">__xlfn.XLOOKUP(H739,[1]Izvršenje_proračuna_po_pozicija!$B$2:$B$153,[1]Izvršenje_proračuna_po_pozicija!$E$2:$E$153,0)</f>
        <v>#NAME?</v>
      </c>
      <c r="T739" s="165"/>
      <c r="U739" s="165"/>
      <c r="V739" s="200">
        <v>0</v>
      </c>
      <c r="W739" s="200">
        <v>0</v>
      </c>
      <c r="X739" s="164">
        <v>40000</v>
      </c>
      <c r="Y739" s="378">
        <v>0</v>
      </c>
      <c r="Z739" s="378"/>
      <c r="AA739" s="370" t="e">
        <f t="shared" ca="1" si="482"/>
        <v>#NAME?</v>
      </c>
      <c r="AB739" s="183"/>
      <c r="AC739" s="178">
        <v>0</v>
      </c>
      <c r="AD739" s="178">
        <v>0</v>
      </c>
      <c r="AE739" s="178"/>
      <c r="AF739" s="178"/>
      <c r="AG739" s="178"/>
      <c r="AH739" s="178"/>
      <c r="AI739" s="183"/>
      <c r="AJ739" s="378">
        <v>0</v>
      </c>
      <c r="AK739" s="171"/>
      <c r="AL739" s="171"/>
      <c r="AM739" s="171">
        <f>Y739/X739*100</f>
        <v>0</v>
      </c>
      <c r="AN739" s="165"/>
      <c r="AO739" s="193"/>
      <c r="AP739" s="193" t="e">
        <f t="shared" ca="1" si="479"/>
        <v>#NAME?</v>
      </c>
      <c r="AQ739" s="200"/>
      <c r="AR739" s="204"/>
      <c r="AS739" s="204"/>
      <c r="AT739" s="204"/>
      <c r="AU739" s="204"/>
      <c r="AV739" s="204"/>
    </row>
    <row r="740" spans="1:48" ht="12" customHeight="1">
      <c r="A740" s="42"/>
      <c r="B740" s="42"/>
      <c r="C740" s="42"/>
      <c r="D740" s="42"/>
      <c r="E740" s="42"/>
      <c r="F740" s="42"/>
      <c r="G740" s="42"/>
      <c r="H740" s="308"/>
      <c r="I740" s="14"/>
      <c r="J740" s="2"/>
      <c r="K740" s="84"/>
      <c r="L740" s="85">
        <v>1</v>
      </c>
      <c r="M740" s="85">
        <v>2</v>
      </c>
      <c r="N740" s="86">
        <v>3</v>
      </c>
      <c r="O740" s="86">
        <v>4</v>
      </c>
      <c r="P740" s="87">
        <v>5</v>
      </c>
      <c r="Q740" s="87">
        <v>6</v>
      </c>
      <c r="R740" s="160"/>
      <c r="S740" s="165" t="e">
        <f ca="1">__xlfn.XLOOKUP(H740,[1]Izvršenje_proračuna_po_pozicija!$B$2:$B$153,[1]Izvršenje_proračuna_po_pozicija!$E$2:$E$153,0)</f>
        <v>#NAME?</v>
      </c>
      <c r="T740" s="165"/>
      <c r="U740" s="165"/>
      <c r="V740" s="200"/>
      <c r="W740" s="200"/>
      <c r="X740" s="361"/>
      <c r="Y740" s="373"/>
      <c r="Z740" s="373"/>
      <c r="AA740" s="370" t="e">
        <f t="shared" ca="1" si="482"/>
        <v>#NAME?</v>
      </c>
      <c r="AB740" s="181"/>
      <c r="AC740" s="182">
        <v>7</v>
      </c>
      <c r="AD740" s="182">
        <v>8</v>
      </c>
      <c r="AE740" s="182">
        <v>9</v>
      </c>
      <c r="AF740" s="182">
        <v>10</v>
      </c>
      <c r="AG740" s="182">
        <v>11</v>
      </c>
      <c r="AH740" s="182">
        <v>12</v>
      </c>
      <c r="AI740" s="181"/>
      <c r="AJ740" s="373"/>
      <c r="AK740" s="171"/>
      <c r="AL740" s="171"/>
      <c r="AM740" s="171"/>
      <c r="AN740" s="161"/>
      <c r="AO740" s="193"/>
      <c r="AP740" s="193" t="e">
        <f t="shared" ca="1" si="479"/>
        <v>#NAME?</v>
      </c>
      <c r="AQ740" s="200"/>
      <c r="AR740" s="204"/>
      <c r="AS740" s="204"/>
      <c r="AT740" s="204"/>
      <c r="AU740" s="204"/>
      <c r="AV740" s="204"/>
    </row>
    <row r="741" spans="1:48" ht="12" customHeight="1">
      <c r="A741" s="390" t="s">
        <v>615</v>
      </c>
      <c r="B741" s="391"/>
      <c r="C741" s="391"/>
      <c r="D741" s="391"/>
      <c r="E741" s="391"/>
      <c r="F741" s="391"/>
      <c r="G741" s="391"/>
      <c r="H741" s="392"/>
      <c r="I741" s="485" t="s">
        <v>616</v>
      </c>
      <c r="J741" s="486"/>
      <c r="K741" s="300"/>
      <c r="L741" s="112">
        <f t="shared" ref="L741:S741" si="483">L743+L748</f>
        <v>0</v>
      </c>
      <c r="M741" s="112">
        <f t="shared" si="483"/>
        <v>0</v>
      </c>
      <c r="N741" s="113">
        <f t="shared" si="483"/>
        <v>0</v>
      </c>
      <c r="O741" s="113">
        <f t="shared" si="483"/>
        <v>0</v>
      </c>
      <c r="P741" s="114">
        <f t="shared" si="483"/>
        <v>160000</v>
      </c>
      <c r="Q741" s="114">
        <f t="shared" si="483"/>
        <v>50000</v>
      </c>
      <c r="R741" s="88">
        <f t="shared" si="483"/>
        <v>0</v>
      </c>
      <c r="S741" s="90" t="e">
        <f t="shared" ca="1" si="483"/>
        <v>#NAME?</v>
      </c>
      <c r="T741" s="90"/>
      <c r="U741" s="90"/>
      <c r="V741" s="200">
        <f>V743+V748</f>
        <v>33500</v>
      </c>
      <c r="W741" s="200">
        <f>W743+W748</f>
        <v>33500</v>
      </c>
      <c r="X741" s="88">
        <f>X743+X748</f>
        <v>450000</v>
      </c>
      <c r="Y741" s="171">
        <f>Y743+Y748</f>
        <v>100000</v>
      </c>
      <c r="Z741" s="171">
        <f>Z743+Z748</f>
        <v>0</v>
      </c>
      <c r="AA741" s="370" t="e">
        <f t="shared" ca="1" si="482"/>
        <v>#NAME?</v>
      </c>
      <c r="AB741" s="171"/>
      <c r="AC741" s="172">
        <f>AC743+AC748</f>
        <v>160000</v>
      </c>
      <c r="AD741" s="172">
        <f>AD743+AD748</f>
        <v>160000</v>
      </c>
      <c r="AE741" s="178"/>
      <c r="AF741" s="178"/>
      <c r="AG741" s="178"/>
      <c r="AH741" s="178"/>
      <c r="AI741" s="171"/>
      <c r="AJ741" s="171">
        <v>100000</v>
      </c>
      <c r="AK741" s="171"/>
      <c r="AL741" s="171">
        <f>X741/W741*100</f>
        <v>1343.2835820895523</v>
      </c>
      <c r="AM741" s="171">
        <f>Y741/X741*100</f>
        <v>22.222222222222221</v>
      </c>
      <c r="AN741" s="90"/>
      <c r="AO741" s="193"/>
      <c r="AP741" s="193" t="e">
        <f t="shared" ca="1" si="479"/>
        <v>#NAME?</v>
      </c>
      <c r="AQ741" s="200">
        <f>AQ743+AQ748</f>
        <v>25000</v>
      </c>
      <c r="AR741" s="204"/>
      <c r="AS741" s="204">
        <f t="shared" ref="AS741:AS802" si="484">W741/V741*100</f>
        <v>100</v>
      </c>
      <c r="AT741" s="204"/>
      <c r="AU741" s="204">
        <f t="shared" ref="AU741:AU802" si="485">AQ741/W741*100</f>
        <v>74.626865671641795</v>
      </c>
      <c r="AV741" s="204"/>
    </row>
    <row r="742" spans="1:48" ht="12" customHeight="1">
      <c r="A742" s="53"/>
      <c r="B742" s="53"/>
      <c r="C742" s="53"/>
      <c r="D742" s="53"/>
      <c r="E742" s="53"/>
      <c r="F742" s="53"/>
      <c r="G742" s="53"/>
      <c r="H742" s="1"/>
      <c r="I742" s="397"/>
      <c r="J742" s="229"/>
      <c r="K742" s="18"/>
      <c r="L742" s="112"/>
      <c r="M742" s="112"/>
      <c r="N742" s="113"/>
      <c r="O742" s="113"/>
      <c r="P742" s="114"/>
      <c r="Q742" s="114"/>
      <c r="R742" s="88"/>
      <c r="S742" s="165" t="e">
        <f ca="1">__xlfn.XLOOKUP(H742,[1]Izvršenje_proračuna_po_pozicija!$B$2:$B$153,[1]Izvršenje_proračuna_po_pozicija!$E$2:$E$153,0)</f>
        <v>#NAME?</v>
      </c>
      <c r="T742" s="165"/>
      <c r="U742" s="165"/>
      <c r="V742" s="200"/>
      <c r="W742" s="200"/>
      <c r="X742" s="167"/>
      <c r="Y742" s="370"/>
      <c r="Z742" s="370"/>
      <c r="AA742" s="370" t="e">
        <f t="shared" ca="1" si="482"/>
        <v>#NAME?</v>
      </c>
      <c r="AB742" s="171"/>
      <c r="AC742" s="172"/>
      <c r="AD742" s="172"/>
      <c r="AE742" s="178"/>
      <c r="AF742" s="178"/>
      <c r="AG742" s="178"/>
      <c r="AH742" s="178"/>
      <c r="AI742" s="171"/>
      <c r="AJ742" s="370"/>
      <c r="AK742" s="171"/>
      <c r="AL742" s="171"/>
      <c r="AM742" s="171"/>
      <c r="AN742" s="90"/>
      <c r="AO742" s="193"/>
      <c r="AP742" s="193" t="e">
        <f t="shared" ca="1" si="479"/>
        <v>#NAME?</v>
      </c>
      <c r="AQ742" s="200"/>
      <c r="AR742" s="204"/>
      <c r="AS742" s="204"/>
      <c r="AT742" s="204"/>
      <c r="AU742" s="204"/>
      <c r="AV742" s="204"/>
    </row>
    <row r="743" spans="1:48" ht="12" customHeight="1">
      <c r="A743" s="24"/>
      <c r="B743" s="24"/>
      <c r="C743" s="24"/>
      <c r="D743" s="24"/>
      <c r="E743" s="24"/>
      <c r="F743" s="24"/>
      <c r="G743" s="24"/>
      <c r="H743" s="393"/>
      <c r="I743" s="465"/>
      <c r="J743" s="281">
        <v>3</v>
      </c>
      <c r="K743" s="2" t="s">
        <v>224</v>
      </c>
      <c r="L743" s="112">
        <f t="shared" ref="L743:AD745" si="486">L744</f>
        <v>0</v>
      </c>
      <c r="M743" s="112">
        <f t="shared" si="486"/>
        <v>0</v>
      </c>
      <c r="N743" s="113">
        <f t="shared" si="486"/>
        <v>0</v>
      </c>
      <c r="O743" s="113">
        <f t="shared" si="486"/>
        <v>0</v>
      </c>
      <c r="P743" s="114">
        <f t="shared" si="486"/>
        <v>160000</v>
      </c>
      <c r="Q743" s="114">
        <f t="shared" si="486"/>
        <v>50000</v>
      </c>
      <c r="R743" s="88">
        <f t="shared" si="486"/>
        <v>0</v>
      </c>
      <c r="S743" s="90" t="e">
        <f t="shared" ca="1" si="486"/>
        <v>#NAME?</v>
      </c>
      <c r="T743" s="90"/>
      <c r="U743" s="90"/>
      <c r="V743" s="200">
        <f>V744</f>
        <v>33500</v>
      </c>
      <c r="W743" s="200">
        <f t="shared" si="486"/>
        <v>33500</v>
      </c>
      <c r="X743" s="88">
        <f t="shared" si="486"/>
        <v>450000</v>
      </c>
      <c r="Y743" s="171">
        <f t="shared" si="486"/>
        <v>100000</v>
      </c>
      <c r="Z743" s="171">
        <f t="shared" si="486"/>
        <v>0</v>
      </c>
      <c r="AA743" s="370" t="e">
        <f t="shared" ca="1" si="482"/>
        <v>#NAME?</v>
      </c>
      <c r="AB743" s="171"/>
      <c r="AC743" s="172">
        <f t="shared" si="486"/>
        <v>160000</v>
      </c>
      <c r="AD743" s="172">
        <f t="shared" si="486"/>
        <v>160000</v>
      </c>
      <c r="AE743" s="178"/>
      <c r="AF743" s="178"/>
      <c r="AG743" s="178"/>
      <c r="AH743" s="178"/>
      <c r="AI743" s="171"/>
      <c r="AJ743" s="171">
        <v>100000</v>
      </c>
      <c r="AK743" s="171"/>
      <c r="AL743" s="171">
        <f t="shared" ref="AL743:AM746" si="487">X743/W743*100</f>
        <v>1343.2835820895523</v>
      </c>
      <c r="AM743" s="171">
        <f t="shared" si="487"/>
        <v>22.222222222222221</v>
      </c>
      <c r="AN743" s="90"/>
      <c r="AO743" s="193"/>
      <c r="AP743" s="193" t="e">
        <f t="shared" ca="1" si="479"/>
        <v>#NAME?</v>
      </c>
      <c r="AQ743" s="200">
        <f>AQ744</f>
        <v>25000</v>
      </c>
      <c r="AR743" s="204"/>
      <c r="AS743" s="204">
        <f t="shared" si="484"/>
        <v>100</v>
      </c>
      <c r="AT743" s="204"/>
      <c r="AU743" s="204">
        <f t="shared" si="485"/>
        <v>74.626865671641795</v>
      </c>
      <c r="AV743" s="204"/>
    </row>
    <row r="744" spans="1:48" ht="12" customHeight="1">
      <c r="A744" s="301"/>
      <c r="B744" s="301"/>
      <c r="C744" s="301"/>
      <c r="D744" s="301"/>
      <c r="E744" s="301"/>
      <c r="F744" s="301"/>
      <c r="G744" s="301"/>
      <c r="H744" s="307"/>
      <c r="I744" s="350"/>
      <c r="J744" s="302">
        <v>38</v>
      </c>
      <c r="K744" s="343" t="s">
        <v>285</v>
      </c>
      <c r="L744" s="112">
        <f t="shared" si="486"/>
        <v>0</v>
      </c>
      <c r="M744" s="112">
        <f t="shared" si="486"/>
        <v>0</v>
      </c>
      <c r="N744" s="113">
        <f t="shared" si="486"/>
        <v>0</v>
      </c>
      <c r="O744" s="113">
        <f t="shared" si="486"/>
        <v>0</v>
      </c>
      <c r="P744" s="114">
        <f t="shared" si="486"/>
        <v>160000</v>
      </c>
      <c r="Q744" s="114">
        <f t="shared" si="486"/>
        <v>50000</v>
      </c>
      <c r="R744" s="88">
        <f t="shared" si="486"/>
        <v>0</v>
      </c>
      <c r="S744" s="90" t="e">
        <f t="shared" ca="1" si="486"/>
        <v>#NAME?</v>
      </c>
      <c r="T744" s="90"/>
      <c r="U744" s="90"/>
      <c r="V744" s="200">
        <f>V745</f>
        <v>33500</v>
      </c>
      <c r="W744" s="200">
        <f t="shared" si="486"/>
        <v>33500</v>
      </c>
      <c r="X744" s="88">
        <f t="shared" si="486"/>
        <v>450000</v>
      </c>
      <c r="Y744" s="171">
        <f t="shared" si="486"/>
        <v>100000</v>
      </c>
      <c r="Z744" s="171">
        <f t="shared" si="486"/>
        <v>0</v>
      </c>
      <c r="AA744" s="370" t="e">
        <f t="shared" ca="1" si="482"/>
        <v>#NAME?</v>
      </c>
      <c r="AB744" s="171"/>
      <c r="AC744" s="172">
        <f t="shared" si="486"/>
        <v>160000</v>
      </c>
      <c r="AD744" s="172">
        <f t="shared" si="486"/>
        <v>160000</v>
      </c>
      <c r="AE744" s="178"/>
      <c r="AF744" s="178"/>
      <c r="AG744" s="178"/>
      <c r="AH744" s="178"/>
      <c r="AI744" s="171"/>
      <c r="AJ744" s="171">
        <v>100000</v>
      </c>
      <c r="AK744" s="171"/>
      <c r="AL744" s="171">
        <f t="shared" si="487"/>
        <v>1343.2835820895523</v>
      </c>
      <c r="AM744" s="171">
        <f t="shared" si="487"/>
        <v>22.222222222222221</v>
      </c>
      <c r="AN744" s="90"/>
      <c r="AO744" s="193"/>
      <c r="AP744" s="193" t="e">
        <f t="shared" ca="1" si="479"/>
        <v>#NAME?</v>
      </c>
      <c r="AQ744" s="200">
        <f>AQ745</f>
        <v>25000</v>
      </c>
      <c r="AR744" s="204"/>
      <c r="AS744" s="204">
        <f t="shared" si="484"/>
        <v>100</v>
      </c>
      <c r="AT744" s="204"/>
      <c r="AU744" s="204">
        <f t="shared" si="485"/>
        <v>74.626865671641795</v>
      </c>
      <c r="AV744" s="204"/>
    </row>
    <row r="745" spans="1:48" ht="12" customHeight="1">
      <c r="A745" s="62"/>
      <c r="B745" s="62"/>
      <c r="C745" s="62"/>
      <c r="D745" s="62"/>
      <c r="E745" s="62"/>
      <c r="F745" s="62"/>
      <c r="G745" s="62"/>
      <c r="H745" s="304"/>
      <c r="I745" s="464"/>
      <c r="J745" s="303">
        <v>386</v>
      </c>
      <c r="K745" s="19" t="s">
        <v>505</v>
      </c>
      <c r="L745" s="112">
        <f t="shared" si="486"/>
        <v>0</v>
      </c>
      <c r="M745" s="112">
        <f t="shared" si="486"/>
        <v>0</v>
      </c>
      <c r="N745" s="113">
        <f t="shared" si="486"/>
        <v>0</v>
      </c>
      <c r="O745" s="113">
        <f t="shared" si="486"/>
        <v>0</v>
      </c>
      <c r="P745" s="114">
        <f t="shared" si="486"/>
        <v>160000</v>
      </c>
      <c r="Q745" s="114">
        <f t="shared" si="486"/>
        <v>50000</v>
      </c>
      <c r="R745" s="88">
        <f t="shared" si="486"/>
        <v>0</v>
      </c>
      <c r="S745" s="90" t="e">
        <f t="shared" ca="1" si="486"/>
        <v>#NAME?</v>
      </c>
      <c r="T745" s="90"/>
      <c r="U745" s="90"/>
      <c r="V745" s="200">
        <f>V746</f>
        <v>33500</v>
      </c>
      <c r="W745" s="200">
        <f t="shared" si="486"/>
        <v>33500</v>
      </c>
      <c r="X745" s="88">
        <f t="shared" si="486"/>
        <v>450000</v>
      </c>
      <c r="Y745" s="171">
        <f t="shared" si="486"/>
        <v>100000</v>
      </c>
      <c r="Z745" s="171">
        <f t="shared" si="486"/>
        <v>0</v>
      </c>
      <c r="AA745" s="370" t="e">
        <f t="shared" ca="1" si="482"/>
        <v>#NAME?</v>
      </c>
      <c r="AB745" s="171"/>
      <c r="AC745" s="172">
        <f t="shared" si="486"/>
        <v>160000</v>
      </c>
      <c r="AD745" s="172">
        <f t="shared" si="486"/>
        <v>160000</v>
      </c>
      <c r="AE745" s="178"/>
      <c r="AF745" s="178"/>
      <c r="AG745" s="178"/>
      <c r="AH745" s="178"/>
      <c r="AI745" s="171"/>
      <c r="AJ745" s="171">
        <v>100000</v>
      </c>
      <c r="AK745" s="171"/>
      <c r="AL745" s="171">
        <f t="shared" si="487"/>
        <v>1343.2835820895523</v>
      </c>
      <c r="AM745" s="171">
        <f t="shared" si="487"/>
        <v>22.222222222222221</v>
      </c>
      <c r="AN745" s="90"/>
      <c r="AO745" s="460"/>
      <c r="AP745" s="193" t="e">
        <f t="shared" ca="1" si="479"/>
        <v>#NAME?</v>
      </c>
      <c r="AQ745" s="200">
        <f>AQ746</f>
        <v>25000</v>
      </c>
      <c r="AR745" s="204"/>
      <c r="AS745" s="204">
        <f t="shared" si="484"/>
        <v>100</v>
      </c>
      <c r="AT745" s="204"/>
      <c r="AU745" s="204">
        <f t="shared" si="485"/>
        <v>74.626865671641795</v>
      </c>
      <c r="AV745" s="204"/>
    </row>
    <row r="746" spans="1:48" ht="12" customHeight="1">
      <c r="A746" s="53"/>
      <c r="B746" s="53"/>
      <c r="C746" s="53"/>
      <c r="D746" s="53"/>
      <c r="E746" s="53"/>
      <c r="F746" s="53"/>
      <c r="G746" s="53"/>
      <c r="H746" s="1" t="s">
        <v>617</v>
      </c>
      <c r="I746" s="397">
        <v>660</v>
      </c>
      <c r="J746" s="229">
        <v>3861</v>
      </c>
      <c r="K746" s="18" t="s">
        <v>618</v>
      </c>
      <c r="L746" s="130">
        <v>0</v>
      </c>
      <c r="M746" s="130">
        <v>0</v>
      </c>
      <c r="N746" s="131">
        <v>0</v>
      </c>
      <c r="O746" s="131">
        <v>0</v>
      </c>
      <c r="P746" s="132">
        <v>160000</v>
      </c>
      <c r="Q746" s="163">
        <v>50000</v>
      </c>
      <c r="R746" s="159">
        <v>0</v>
      </c>
      <c r="S746" s="165" t="e">
        <f ca="1">__xlfn.XLOOKUP(H746,[1]Izvršenje_proračuna_po_pozicija!$B$2:$B$153,[1]Izvršenje_proračuna_po_pozicija!$E$2:$E$153,0)</f>
        <v>#NAME?</v>
      </c>
      <c r="T746" s="165"/>
      <c r="U746" s="165"/>
      <c r="V746" s="200">
        <v>33500</v>
      </c>
      <c r="W746" s="200">
        <v>33500</v>
      </c>
      <c r="X746" s="164">
        <v>450000</v>
      </c>
      <c r="Y746" s="378">
        <v>100000</v>
      </c>
      <c r="Z746" s="378"/>
      <c r="AA746" s="370" t="e">
        <f t="shared" ca="1" si="482"/>
        <v>#NAME?</v>
      </c>
      <c r="AB746" s="183"/>
      <c r="AC746" s="178">
        <v>160000</v>
      </c>
      <c r="AD746" s="178">
        <v>160000</v>
      </c>
      <c r="AE746" s="178"/>
      <c r="AF746" s="178"/>
      <c r="AG746" s="178"/>
      <c r="AH746" s="178"/>
      <c r="AI746" s="183"/>
      <c r="AJ746" s="378">
        <v>100000</v>
      </c>
      <c r="AK746" s="171"/>
      <c r="AL746" s="171">
        <f t="shared" si="487"/>
        <v>1343.2835820895523</v>
      </c>
      <c r="AM746" s="171">
        <f t="shared" si="487"/>
        <v>22.222222222222221</v>
      </c>
      <c r="AN746" s="165"/>
      <c r="AO746" s="193"/>
      <c r="AP746" s="193" t="e">
        <f t="shared" ca="1" si="479"/>
        <v>#NAME?</v>
      </c>
      <c r="AQ746" s="200">
        <v>25000</v>
      </c>
      <c r="AR746" s="204"/>
      <c r="AS746" s="204">
        <f t="shared" si="484"/>
        <v>100</v>
      </c>
      <c r="AT746" s="204"/>
      <c r="AU746" s="204">
        <f t="shared" si="485"/>
        <v>74.626865671641795</v>
      </c>
      <c r="AV746" s="204"/>
    </row>
    <row r="747" spans="1:48" ht="12" customHeight="1">
      <c r="A747" s="42"/>
      <c r="B747" s="42"/>
      <c r="C747" s="42"/>
      <c r="D747" s="42"/>
      <c r="E747" s="42"/>
      <c r="F747" s="42"/>
      <c r="G747" s="42"/>
      <c r="H747" s="308"/>
      <c r="I747" s="14"/>
      <c r="J747" s="2"/>
      <c r="K747" s="281"/>
      <c r="L747" s="85"/>
      <c r="M747" s="85"/>
      <c r="N747" s="86"/>
      <c r="O747" s="86"/>
      <c r="P747" s="87"/>
      <c r="Q747" s="87"/>
      <c r="R747" s="160"/>
      <c r="S747" s="165" t="e">
        <f ca="1">__xlfn.XLOOKUP(H747,[1]Izvršenje_proračuna_po_pozicija!$B$2:$B$153,[1]Izvršenje_proračuna_po_pozicija!$E$2:$E$153,0)</f>
        <v>#NAME?</v>
      </c>
      <c r="T747" s="165"/>
      <c r="U747" s="165"/>
      <c r="V747" s="200"/>
      <c r="W747" s="200"/>
      <c r="X747" s="361"/>
      <c r="Y747" s="373"/>
      <c r="Z747" s="373"/>
      <c r="AA747" s="370" t="e">
        <f t="shared" ca="1" si="482"/>
        <v>#NAME?</v>
      </c>
      <c r="AB747" s="181"/>
      <c r="AC747" s="182"/>
      <c r="AD747" s="182"/>
      <c r="AE747" s="178"/>
      <c r="AF747" s="178"/>
      <c r="AG747" s="178"/>
      <c r="AH747" s="178"/>
      <c r="AI747" s="181"/>
      <c r="AJ747" s="373"/>
      <c r="AK747" s="171"/>
      <c r="AL747" s="171"/>
      <c r="AM747" s="171"/>
      <c r="AN747" s="161"/>
      <c r="AO747" s="193"/>
      <c r="AP747" s="193" t="e">
        <f t="shared" ca="1" si="479"/>
        <v>#NAME?</v>
      </c>
      <c r="AQ747" s="200"/>
      <c r="AR747" s="204"/>
      <c r="AS747" s="204"/>
      <c r="AT747" s="204"/>
      <c r="AU747" s="204"/>
      <c r="AV747" s="204"/>
    </row>
    <row r="748" spans="1:48" ht="12" customHeight="1">
      <c r="A748" s="24"/>
      <c r="B748" s="24"/>
      <c r="C748" s="24"/>
      <c r="D748" s="24"/>
      <c r="E748" s="24"/>
      <c r="F748" s="24"/>
      <c r="G748" s="24"/>
      <c r="H748" s="393"/>
      <c r="I748" s="465"/>
      <c r="J748" s="281">
        <v>4</v>
      </c>
      <c r="K748" s="2" t="s">
        <v>611</v>
      </c>
      <c r="L748" s="112">
        <f t="shared" ref="L748:Z750" si="488">L749</f>
        <v>0</v>
      </c>
      <c r="M748" s="112">
        <f t="shared" si="488"/>
        <v>0</v>
      </c>
      <c r="N748" s="113">
        <f t="shared" si="488"/>
        <v>0</v>
      </c>
      <c r="O748" s="113">
        <f t="shared" si="488"/>
        <v>0</v>
      </c>
      <c r="P748" s="114">
        <f t="shared" si="488"/>
        <v>0</v>
      </c>
      <c r="Q748" s="114">
        <f t="shared" si="488"/>
        <v>0</v>
      </c>
      <c r="R748" s="88">
        <f t="shared" si="488"/>
        <v>0</v>
      </c>
      <c r="S748" s="90" t="e">
        <f t="shared" ca="1" si="488"/>
        <v>#NAME?</v>
      </c>
      <c r="T748" s="90"/>
      <c r="U748" s="90"/>
      <c r="V748" s="200">
        <f>V749</f>
        <v>0</v>
      </c>
      <c r="W748" s="200">
        <f t="shared" si="488"/>
        <v>0</v>
      </c>
      <c r="X748" s="88">
        <f t="shared" si="488"/>
        <v>0</v>
      </c>
      <c r="Y748" s="171">
        <f t="shared" si="488"/>
        <v>0</v>
      </c>
      <c r="Z748" s="171">
        <f t="shared" si="488"/>
        <v>0</v>
      </c>
      <c r="AA748" s="370" t="e">
        <f t="shared" ca="1" si="482"/>
        <v>#NAME?</v>
      </c>
      <c r="AB748" s="171"/>
      <c r="AC748" s="172">
        <f t="shared" ref="AC748:AD750" si="489">AC749</f>
        <v>0</v>
      </c>
      <c r="AD748" s="172">
        <f t="shared" si="489"/>
        <v>0</v>
      </c>
      <c r="AE748" s="178"/>
      <c r="AF748" s="178"/>
      <c r="AG748" s="178"/>
      <c r="AH748" s="178"/>
      <c r="AI748" s="171"/>
      <c r="AJ748" s="171">
        <v>0</v>
      </c>
      <c r="AK748" s="171"/>
      <c r="AL748" s="171"/>
      <c r="AM748" s="171"/>
      <c r="AN748" s="90"/>
      <c r="AO748" s="193"/>
      <c r="AP748" s="193" t="e">
        <f t="shared" ca="1" si="479"/>
        <v>#NAME?</v>
      </c>
      <c r="AQ748" s="200">
        <f>AQ749</f>
        <v>0</v>
      </c>
      <c r="AR748" s="204"/>
      <c r="AS748" s="204"/>
      <c r="AT748" s="204"/>
      <c r="AU748" s="204"/>
      <c r="AV748" s="204"/>
    </row>
    <row r="749" spans="1:48" ht="12" customHeight="1">
      <c r="A749" s="301"/>
      <c r="B749" s="301"/>
      <c r="C749" s="301"/>
      <c r="D749" s="301"/>
      <c r="E749" s="301"/>
      <c r="F749" s="301"/>
      <c r="G749" s="301"/>
      <c r="H749" s="307"/>
      <c r="I749" s="350"/>
      <c r="J749" s="302">
        <v>42</v>
      </c>
      <c r="K749" s="343" t="s">
        <v>612</v>
      </c>
      <c r="L749" s="112">
        <f t="shared" si="488"/>
        <v>0</v>
      </c>
      <c r="M749" s="112">
        <f t="shared" si="488"/>
        <v>0</v>
      </c>
      <c r="N749" s="113">
        <f t="shared" si="488"/>
        <v>0</v>
      </c>
      <c r="O749" s="113">
        <f t="shared" si="488"/>
        <v>0</v>
      </c>
      <c r="P749" s="114">
        <f t="shared" si="488"/>
        <v>0</v>
      </c>
      <c r="Q749" s="114">
        <f t="shared" si="488"/>
        <v>0</v>
      </c>
      <c r="R749" s="88">
        <f t="shared" si="488"/>
        <v>0</v>
      </c>
      <c r="S749" s="90" t="e">
        <f t="shared" ca="1" si="488"/>
        <v>#NAME?</v>
      </c>
      <c r="T749" s="90"/>
      <c r="U749" s="90"/>
      <c r="V749" s="200">
        <f>V750</f>
        <v>0</v>
      </c>
      <c r="W749" s="200">
        <f t="shared" si="488"/>
        <v>0</v>
      </c>
      <c r="X749" s="88">
        <f t="shared" si="488"/>
        <v>0</v>
      </c>
      <c r="Y749" s="171">
        <f t="shared" si="488"/>
        <v>0</v>
      </c>
      <c r="Z749" s="171">
        <f t="shared" si="488"/>
        <v>0</v>
      </c>
      <c r="AA749" s="370" t="e">
        <f t="shared" ca="1" si="482"/>
        <v>#NAME?</v>
      </c>
      <c r="AB749" s="171"/>
      <c r="AC749" s="172">
        <f t="shared" si="489"/>
        <v>0</v>
      </c>
      <c r="AD749" s="172">
        <f t="shared" si="489"/>
        <v>0</v>
      </c>
      <c r="AE749" s="178"/>
      <c r="AF749" s="178"/>
      <c r="AG749" s="178"/>
      <c r="AH749" s="178"/>
      <c r="AI749" s="171"/>
      <c r="AJ749" s="171">
        <v>0</v>
      </c>
      <c r="AK749" s="171"/>
      <c r="AL749" s="171"/>
      <c r="AM749" s="171"/>
      <c r="AN749" s="90"/>
      <c r="AO749" s="193"/>
      <c r="AP749" s="193" t="e">
        <f t="shared" ca="1" si="479"/>
        <v>#NAME?</v>
      </c>
      <c r="AQ749" s="200">
        <f>AQ750</f>
        <v>0</v>
      </c>
      <c r="AR749" s="204"/>
      <c r="AS749" s="204"/>
      <c r="AT749" s="204"/>
      <c r="AU749" s="204"/>
      <c r="AV749" s="204"/>
    </row>
    <row r="750" spans="1:48" ht="12" customHeight="1">
      <c r="A750" s="62"/>
      <c r="B750" s="62"/>
      <c r="C750" s="62"/>
      <c r="D750" s="62"/>
      <c r="E750" s="62"/>
      <c r="F750" s="62"/>
      <c r="G750" s="62"/>
      <c r="H750" s="304"/>
      <c r="I750" s="464"/>
      <c r="J750" s="303">
        <v>421</v>
      </c>
      <c r="K750" s="19" t="s">
        <v>465</v>
      </c>
      <c r="L750" s="112">
        <f t="shared" si="488"/>
        <v>0</v>
      </c>
      <c r="M750" s="112">
        <f t="shared" si="488"/>
        <v>0</v>
      </c>
      <c r="N750" s="113">
        <f t="shared" si="488"/>
        <v>0</v>
      </c>
      <c r="O750" s="113">
        <f t="shared" si="488"/>
        <v>0</v>
      </c>
      <c r="P750" s="114">
        <f t="shared" si="488"/>
        <v>0</v>
      </c>
      <c r="Q750" s="114">
        <f t="shared" si="488"/>
        <v>0</v>
      </c>
      <c r="R750" s="88">
        <f t="shared" si="488"/>
        <v>0</v>
      </c>
      <c r="S750" s="90" t="e">
        <f t="shared" ca="1" si="488"/>
        <v>#NAME?</v>
      </c>
      <c r="T750" s="90"/>
      <c r="U750" s="90"/>
      <c r="V750" s="200">
        <f>V751</f>
        <v>0</v>
      </c>
      <c r="W750" s="200">
        <f t="shared" si="488"/>
        <v>0</v>
      </c>
      <c r="X750" s="88">
        <f t="shared" si="488"/>
        <v>0</v>
      </c>
      <c r="Y750" s="171">
        <f t="shared" si="488"/>
        <v>0</v>
      </c>
      <c r="Z750" s="171">
        <f t="shared" si="488"/>
        <v>0</v>
      </c>
      <c r="AA750" s="370" t="e">
        <f t="shared" ca="1" si="482"/>
        <v>#NAME?</v>
      </c>
      <c r="AB750" s="171"/>
      <c r="AC750" s="172">
        <f t="shared" si="489"/>
        <v>0</v>
      </c>
      <c r="AD750" s="172">
        <f t="shared" si="489"/>
        <v>0</v>
      </c>
      <c r="AE750" s="178"/>
      <c r="AF750" s="178"/>
      <c r="AG750" s="178"/>
      <c r="AH750" s="178"/>
      <c r="AI750" s="171"/>
      <c r="AJ750" s="171">
        <v>0</v>
      </c>
      <c r="AK750" s="171"/>
      <c r="AL750" s="171"/>
      <c r="AM750" s="171"/>
      <c r="AN750" s="90"/>
      <c r="AO750" s="193"/>
      <c r="AP750" s="193" t="e">
        <f t="shared" ca="1" si="479"/>
        <v>#NAME?</v>
      </c>
      <c r="AQ750" s="200">
        <f>AQ751</f>
        <v>0</v>
      </c>
      <c r="AR750" s="204"/>
      <c r="AS750" s="204"/>
      <c r="AT750" s="204"/>
      <c r="AU750" s="204"/>
      <c r="AV750" s="204"/>
    </row>
    <row r="751" spans="1:48" ht="12" customHeight="1">
      <c r="A751" s="53"/>
      <c r="B751" s="53"/>
      <c r="C751" s="53"/>
      <c r="D751" s="53"/>
      <c r="E751" s="53"/>
      <c r="F751" s="53"/>
      <c r="G751" s="53"/>
      <c r="H751" s="1" t="s">
        <v>619</v>
      </c>
      <c r="I751" s="397">
        <v>660</v>
      </c>
      <c r="J751" s="229">
        <v>4214</v>
      </c>
      <c r="K751" s="18" t="s">
        <v>620</v>
      </c>
      <c r="L751" s="130"/>
      <c r="M751" s="130"/>
      <c r="N751" s="131"/>
      <c r="O751" s="131"/>
      <c r="P751" s="132"/>
      <c r="Q751" s="132"/>
      <c r="R751" s="159"/>
      <c r="S751" s="165" t="e">
        <f ca="1">__xlfn.XLOOKUP(H751,[1]Izvršenje_proračuna_po_pozicija!$B$2:$B$153,[1]Izvršenje_proračuna_po_pozicija!$E$2:$E$153,0)</f>
        <v>#NAME?</v>
      </c>
      <c r="T751" s="165"/>
      <c r="U751" s="165"/>
      <c r="V751" s="200"/>
      <c r="W751" s="200"/>
      <c r="X751" s="164"/>
      <c r="Y751" s="378"/>
      <c r="Z751" s="378"/>
      <c r="AA751" s="370" t="e">
        <f t="shared" ca="1" si="482"/>
        <v>#NAME?</v>
      </c>
      <c r="AB751" s="183"/>
      <c r="AC751" s="178"/>
      <c r="AD751" s="178"/>
      <c r="AE751" s="178"/>
      <c r="AF751" s="178"/>
      <c r="AG751" s="178"/>
      <c r="AH751" s="178"/>
      <c r="AI751" s="183"/>
      <c r="AJ751" s="378"/>
      <c r="AK751" s="171"/>
      <c r="AL751" s="171"/>
      <c r="AM751" s="171"/>
      <c r="AN751" s="165"/>
      <c r="AO751" s="193"/>
      <c r="AP751" s="193" t="e">
        <f t="shared" ca="1" si="479"/>
        <v>#NAME?</v>
      </c>
      <c r="AQ751" s="200"/>
      <c r="AR751" s="204"/>
      <c r="AS751" s="204"/>
      <c r="AT751" s="204"/>
      <c r="AU751" s="204"/>
      <c r="AV751" s="204"/>
    </row>
    <row r="752" spans="1:48" ht="12" customHeight="1">
      <c r="A752" s="42"/>
      <c r="B752" s="42"/>
      <c r="C752" s="42"/>
      <c r="D752" s="42"/>
      <c r="E752" s="42"/>
      <c r="F752" s="42"/>
      <c r="G752" s="42"/>
      <c r="H752" s="308"/>
      <c r="I752" s="14"/>
      <c r="J752" s="2"/>
      <c r="K752" s="84"/>
      <c r="L752" s="85"/>
      <c r="M752" s="85"/>
      <c r="N752" s="86"/>
      <c r="O752" s="86"/>
      <c r="P752" s="87"/>
      <c r="Q752" s="87"/>
      <c r="R752" s="160"/>
      <c r="S752" s="165" t="e">
        <f ca="1">__xlfn.XLOOKUP(H752,[1]Izvršenje_proračuna_po_pozicija!$B$2:$B$153,[1]Izvršenje_proračuna_po_pozicija!$E$2:$E$153,0)</f>
        <v>#NAME?</v>
      </c>
      <c r="T752" s="165"/>
      <c r="U752" s="165"/>
      <c r="V752" s="200"/>
      <c r="W752" s="200"/>
      <c r="X752" s="361"/>
      <c r="Y752" s="373"/>
      <c r="Z752" s="373"/>
      <c r="AA752" s="370" t="e">
        <f t="shared" ca="1" si="482"/>
        <v>#NAME?</v>
      </c>
      <c r="AB752" s="181"/>
      <c r="AC752" s="182"/>
      <c r="AD752" s="182"/>
      <c r="AE752" s="178"/>
      <c r="AF752" s="178"/>
      <c r="AG752" s="178"/>
      <c r="AH752" s="178"/>
      <c r="AI752" s="181"/>
      <c r="AJ752" s="373"/>
      <c r="AK752" s="171"/>
      <c r="AL752" s="171"/>
      <c r="AM752" s="171"/>
      <c r="AN752" s="161"/>
      <c r="AO752" s="193"/>
      <c r="AP752" s="193" t="e">
        <f t="shared" ca="1" si="479"/>
        <v>#NAME?</v>
      </c>
      <c r="AQ752" s="200"/>
      <c r="AR752" s="204"/>
      <c r="AS752" s="204"/>
      <c r="AT752" s="204"/>
      <c r="AU752" s="204"/>
      <c r="AV752" s="204"/>
    </row>
    <row r="753" spans="1:48" ht="12" customHeight="1">
      <c r="A753" s="390" t="s">
        <v>621</v>
      </c>
      <c r="B753" s="391"/>
      <c r="C753" s="391"/>
      <c r="D753" s="391"/>
      <c r="E753" s="391"/>
      <c r="F753" s="391"/>
      <c r="G753" s="391"/>
      <c r="H753" s="392"/>
      <c r="I753" s="485" t="s">
        <v>622</v>
      </c>
      <c r="J753" s="486"/>
      <c r="K753" s="300"/>
      <c r="L753" s="112">
        <f t="shared" ref="L753:S753" si="490">L755</f>
        <v>220425</v>
      </c>
      <c r="M753" s="112">
        <f t="shared" si="490"/>
        <v>29255.425044793945</v>
      </c>
      <c r="N753" s="113">
        <f t="shared" si="490"/>
        <v>0</v>
      </c>
      <c r="O753" s="113">
        <f t="shared" si="490"/>
        <v>0</v>
      </c>
      <c r="P753" s="114">
        <f t="shared" si="490"/>
        <v>265000</v>
      </c>
      <c r="Q753" s="114">
        <f t="shared" si="490"/>
        <v>1000</v>
      </c>
      <c r="R753" s="88">
        <f t="shared" si="490"/>
        <v>70444</v>
      </c>
      <c r="S753" s="90" t="e">
        <f t="shared" ca="1" si="490"/>
        <v>#NAME?</v>
      </c>
      <c r="T753" s="90"/>
      <c r="U753" s="90"/>
      <c r="V753" s="200">
        <f>V755</f>
        <v>450000</v>
      </c>
      <c r="W753" s="200">
        <f>W755</f>
        <v>450000</v>
      </c>
      <c r="X753" s="88">
        <f>X755</f>
        <v>0</v>
      </c>
      <c r="Y753" s="171">
        <f>Y755</f>
        <v>0</v>
      </c>
      <c r="Z753" s="171">
        <f>Z755</f>
        <v>0</v>
      </c>
      <c r="AA753" s="370" t="e">
        <f t="shared" ca="1" si="482"/>
        <v>#NAME?</v>
      </c>
      <c r="AB753" s="171"/>
      <c r="AC753" s="172">
        <f>AC755</f>
        <v>0</v>
      </c>
      <c r="AD753" s="172">
        <f>AD755</f>
        <v>0</v>
      </c>
      <c r="AE753" s="178">
        <f>O753/M753*100</f>
        <v>0</v>
      </c>
      <c r="AF753" s="178"/>
      <c r="AG753" s="178"/>
      <c r="AH753" s="178"/>
      <c r="AI753" s="171"/>
      <c r="AJ753" s="171">
        <v>0</v>
      </c>
      <c r="AK753" s="171">
        <f>W753/R753*100</f>
        <v>638.80529214695366</v>
      </c>
      <c r="AL753" s="171">
        <f>X753/W753*100</f>
        <v>0</v>
      </c>
      <c r="AM753" s="171"/>
      <c r="AN753" s="90"/>
      <c r="AO753" s="193"/>
      <c r="AP753" s="193" t="e">
        <f t="shared" ca="1" si="479"/>
        <v>#NAME?</v>
      </c>
      <c r="AQ753" s="200">
        <f>AQ755</f>
        <v>443654.24</v>
      </c>
      <c r="AR753" s="204">
        <f t="shared" ref="AR753:AR810" si="491">V753/R753*100</f>
        <v>638.80529214695366</v>
      </c>
      <c r="AS753" s="204">
        <f t="shared" si="484"/>
        <v>100</v>
      </c>
      <c r="AT753" s="204">
        <f t="shared" ref="AT753:AT810" si="492">W753/R753*100</f>
        <v>638.80529214695366</v>
      </c>
      <c r="AU753" s="204">
        <f t="shared" si="485"/>
        <v>98.58983111111111</v>
      </c>
      <c r="AV753" s="204">
        <f t="shared" ref="AV753:AV810" si="493">AQ753/R753*100</f>
        <v>629.79705865652147</v>
      </c>
    </row>
    <row r="754" spans="1:48" ht="12" customHeight="1">
      <c r="A754" s="53"/>
      <c r="B754" s="53"/>
      <c r="C754" s="53"/>
      <c r="D754" s="53"/>
      <c r="E754" s="53"/>
      <c r="F754" s="53"/>
      <c r="G754" s="53"/>
      <c r="H754" s="1"/>
      <c r="I754" s="397"/>
      <c r="J754" s="229"/>
      <c r="K754" s="18"/>
      <c r="L754" s="466"/>
      <c r="M754" s="466"/>
      <c r="N754" s="467"/>
      <c r="O754" s="467"/>
      <c r="P754" s="468"/>
      <c r="Q754" s="468"/>
      <c r="R754" s="282"/>
      <c r="S754" s="165" t="e">
        <f ca="1">__xlfn.XLOOKUP(H754,[1]Izvršenje_proračuna_po_pozicija!$B$2:$B$153,[1]Izvršenje_proračuna_po_pozicija!$E$2:$E$153,0)</f>
        <v>#NAME?</v>
      </c>
      <c r="T754" s="165"/>
      <c r="U754" s="165"/>
      <c r="V754" s="200"/>
      <c r="W754" s="200"/>
      <c r="X754" s="167"/>
      <c r="Y754" s="424"/>
      <c r="Z754" s="424"/>
      <c r="AA754" s="370" t="e">
        <f t="shared" ca="1" si="482"/>
        <v>#NAME?</v>
      </c>
      <c r="AB754" s="223"/>
      <c r="AC754" s="224"/>
      <c r="AD754" s="224"/>
      <c r="AE754" s="178"/>
      <c r="AF754" s="178"/>
      <c r="AG754" s="178"/>
      <c r="AH754" s="178"/>
      <c r="AI754" s="223"/>
      <c r="AJ754" s="424"/>
      <c r="AK754" s="171"/>
      <c r="AL754" s="171"/>
      <c r="AM754" s="171"/>
      <c r="AN754" s="222"/>
      <c r="AO754" s="193"/>
      <c r="AP754" s="193" t="e">
        <f t="shared" ca="1" si="479"/>
        <v>#NAME?</v>
      </c>
      <c r="AQ754" s="200"/>
      <c r="AR754" s="204"/>
      <c r="AS754" s="204"/>
      <c r="AT754" s="204"/>
      <c r="AU754" s="204"/>
      <c r="AV754" s="204"/>
    </row>
    <row r="755" spans="1:48" ht="12" customHeight="1">
      <c r="A755" s="24"/>
      <c r="B755" s="24"/>
      <c r="C755" s="24"/>
      <c r="D755" s="24"/>
      <c r="E755" s="24"/>
      <c r="F755" s="24"/>
      <c r="G755" s="24"/>
      <c r="H755" s="393"/>
      <c r="I755" s="465"/>
      <c r="J755" s="281">
        <v>4</v>
      </c>
      <c r="K755" s="2" t="s">
        <v>611</v>
      </c>
      <c r="L755" s="112">
        <f t="shared" ref="L755:S756" si="494">L756</f>
        <v>220425</v>
      </c>
      <c r="M755" s="112">
        <f t="shared" si="494"/>
        <v>29255.425044793945</v>
      </c>
      <c r="N755" s="113">
        <f t="shared" si="494"/>
        <v>0</v>
      </c>
      <c r="O755" s="113">
        <f t="shared" si="494"/>
        <v>0</v>
      </c>
      <c r="P755" s="114">
        <f t="shared" si="494"/>
        <v>265000</v>
      </c>
      <c r="Q755" s="114">
        <f t="shared" si="494"/>
        <v>1000</v>
      </c>
      <c r="R755" s="88">
        <f t="shared" si="494"/>
        <v>70444</v>
      </c>
      <c r="S755" s="90" t="e">
        <f t="shared" ca="1" si="494"/>
        <v>#NAME?</v>
      </c>
      <c r="T755" s="90"/>
      <c r="U755" s="90"/>
      <c r="V755" s="200">
        <f>V756</f>
        <v>450000</v>
      </c>
      <c r="W755" s="200">
        <f t="shared" ref="W755:Z756" si="495">W756</f>
        <v>450000</v>
      </c>
      <c r="X755" s="88">
        <f t="shared" si="495"/>
        <v>0</v>
      </c>
      <c r="Y755" s="171">
        <f t="shared" si="495"/>
        <v>0</v>
      </c>
      <c r="Z755" s="171">
        <f t="shared" si="495"/>
        <v>0</v>
      </c>
      <c r="AA755" s="370" t="e">
        <f t="shared" ca="1" si="482"/>
        <v>#NAME?</v>
      </c>
      <c r="AB755" s="171"/>
      <c r="AC755" s="172">
        <f>AC756</f>
        <v>0</v>
      </c>
      <c r="AD755" s="172">
        <f>AD756</f>
        <v>0</v>
      </c>
      <c r="AE755" s="178">
        <f>O755/M755*100</f>
        <v>0</v>
      </c>
      <c r="AF755" s="178"/>
      <c r="AG755" s="178"/>
      <c r="AH755" s="178"/>
      <c r="AI755" s="171"/>
      <c r="AJ755" s="171">
        <v>0</v>
      </c>
      <c r="AK755" s="171">
        <f>W755/R755*100</f>
        <v>638.80529214695366</v>
      </c>
      <c r="AL755" s="171">
        <f>X755/W755*100</f>
        <v>0</v>
      </c>
      <c r="AM755" s="171"/>
      <c r="AN755" s="90"/>
      <c r="AO755" s="193"/>
      <c r="AP755" s="193" t="e">
        <f t="shared" ca="1" si="479"/>
        <v>#NAME?</v>
      </c>
      <c r="AQ755" s="200">
        <f>AQ756</f>
        <v>443654.24</v>
      </c>
      <c r="AR755" s="204">
        <f t="shared" si="491"/>
        <v>638.80529214695366</v>
      </c>
      <c r="AS755" s="204">
        <f t="shared" si="484"/>
        <v>100</v>
      </c>
      <c r="AT755" s="204">
        <f t="shared" si="492"/>
        <v>638.80529214695366</v>
      </c>
      <c r="AU755" s="204">
        <f t="shared" si="485"/>
        <v>98.58983111111111</v>
      </c>
      <c r="AV755" s="204">
        <f t="shared" si="493"/>
        <v>629.79705865652147</v>
      </c>
    </row>
    <row r="756" spans="1:48" ht="12" customHeight="1">
      <c r="A756" s="301"/>
      <c r="B756" s="301"/>
      <c r="C756" s="301"/>
      <c r="D756" s="301"/>
      <c r="E756" s="301"/>
      <c r="F756" s="301"/>
      <c r="G756" s="301"/>
      <c r="H756" s="307"/>
      <c r="I756" s="350"/>
      <c r="J756" s="302">
        <v>42</v>
      </c>
      <c r="K756" s="343" t="s">
        <v>612</v>
      </c>
      <c r="L756" s="112">
        <f t="shared" si="494"/>
        <v>220425</v>
      </c>
      <c r="M756" s="112">
        <f t="shared" si="494"/>
        <v>29255.425044793945</v>
      </c>
      <c r="N756" s="113">
        <f t="shared" si="494"/>
        <v>0</v>
      </c>
      <c r="O756" s="113">
        <f t="shared" si="494"/>
        <v>0</v>
      </c>
      <c r="P756" s="114">
        <f t="shared" si="494"/>
        <v>265000</v>
      </c>
      <c r="Q756" s="114">
        <f t="shared" si="494"/>
        <v>1000</v>
      </c>
      <c r="R756" s="88">
        <f t="shared" si="494"/>
        <v>70444</v>
      </c>
      <c r="S756" s="90" t="e">
        <f t="shared" ca="1" si="494"/>
        <v>#NAME?</v>
      </c>
      <c r="T756" s="90"/>
      <c r="U756" s="90"/>
      <c r="V756" s="200">
        <f>V757</f>
        <v>450000</v>
      </c>
      <c r="W756" s="200">
        <f t="shared" si="495"/>
        <v>450000</v>
      </c>
      <c r="X756" s="88">
        <f t="shared" si="495"/>
        <v>0</v>
      </c>
      <c r="Y756" s="171">
        <f t="shared" si="495"/>
        <v>0</v>
      </c>
      <c r="Z756" s="171">
        <f t="shared" si="495"/>
        <v>0</v>
      </c>
      <c r="AA756" s="370" t="e">
        <f t="shared" ca="1" si="482"/>
        <v>#NAME?</v>
      </c>
      <c r="AB756" s="171"/>
      <c r="AC756" s="172">
        <f>AC757</f>
        <v>0</v>
      </c>
      <c r="AD756" s="172">
        <f>AD757</f>
        <v>0</v>
      </c>
      <c r="AE756" s="178">
        <f>O756/M756*100</f>
        <v>0</v>
      </c>
      <c r="AF756" s="178"/>
      <c r="AG756" s="178"/>
      <c r="AH756" s="178"/>
      <c r="AI756" s="171"/>
      <c r="AJ756" s="171">
        <v>0</v>
      </c>
      <c r="AK756" s="171">
        <f>W756/R756*100</f>
        <v>638.80529214695366</v>
      </c>
      <c r="AL756" s="171">
        <f>X756/W756*100</f>
        <v>0</v>
      </c>
      <c r="AM756" s="171"/>
      <c r="AN756" s="90"/>
      <c r="AO756" s="193"/>
      <c r="AP756" s="193" t="e">
        <f t="shared" ca="1" si="479"/>
        <v>#NAME?</v>
      </c>
      <c r="AQ756" s="200">
        <f>AQ757</f>
        <v>443654.24</v>
      </c>
      <c r="AR756" s="204">
        <f t="shared" si="491"/>
        <v>638.80529214695366</v>
      </c>
      <c r="AS756" s="204">
        <f t="shared" si="484"/>
        <v>100</v>
      </c>
      <c r="AT756" s="204">
        <f t="shared" si="492"/>
        <v>638.80529214695366</v>
      </c>
      <c r="AU756" s="204">
        <f t="shared" si="485"/>
        <v>98.58983111111111</v>
      </c>
      <c r="AV756" s="204">
        <f t="shared" si="493"/>
        <v>629.79705865652147</v>
      </c>
    </row>
    <row r="757" spans="1:48" ht="12" customHeight="1">
      <c r="A757" s="62"/>
      <c r="B757" s="62"/>
      <c r="C757" s="62"/>
      <c r="D757" s="62"/>
      <c r="E757" s="62"/>
      <c r="F757" s="62"/>
      <c r="G757" s="62"/>
      <c r="H757" s="304"/>
      <c r="I757" s="464"/>
      <c r="J757" s="303">
        <v>421</v>
      </c>
      <c r="K757" s="19" t="s">
        <v>465</v>
      </c>
      <c r="L757" s="112">
        <f>L758</f>
        <v>220425</v>
      </c>
      <c r="M757" s="112">
        <f>M758</f>
        <v>29255.425044793945</v>
      </c>
      <c r="N757" s="113">
        <f t="shared" ref="N757:S757" si="496">N758+N759</f>
        <v>0</v>
      </c>
      <c r="O757" s="113">
        <f t="shared" si="496"/>
        <v>0</v>
      </c>
      <c r="P757" s="114">
        <f t="shared" si="496"/>
        <v>265000</v>
      </c>
      <c r="Q757" s="114">
        <f t="shared" si="496"/>
        <v>1000</v>
      </c>
      <c r="R757" s="88">
        <f t="shared" si="496"/>
        <v>70444</v>
      </c>
      <c r="S757" s="90" t="e">
        <f t="shared" ca="1" si="496"/>
        <v>#NAME?</v>
      </c>
      <c r="T757" s="90"/>
      <c r="U757" s="90"/>
      <c r="V757" s="200">
        <f>V758+V759</f>
        <v>450000</v>
      </c>
      <c r="W757" s="200">
        <f>W758+W759</f>
        <v>450000</v>
      </c>
      <c r="X757" s="88">
        <f>X758+X759</f>
        <v>0</v>
      </c>
      <c r="Y757" s="171">
        <f>Y758+Y759</f>
        <v>0</v>
      </c>
      <c r="Z757" s="171">
        <f>Z758+Z759</f>
        <v>0</v>
      </c>
      <c r="AA757" s="370" t="e">
        <f t="shared" ca="1" si="482"/>
        <v>#NAME?</v>
      </c>
      <c r="AB757" s="171"/>
      <c r="AC757" s="172">
        <f>AC758+AC759</f>
        <v>0</v>
      </c>
      <c r="AD757" s="172">
        <f>AD758+AD759</f>
        <v>0</v>
      </c>
      <c r="AE757" s="178">
        <f>O757/M757*100</f>
        <v>0</v>
      </c>
      <c r="AF757" s="178"/>
      <c r="AG757" s="178"/>
      <c r="AH757" s="178"/>
      <c r="AI757" s="171"/>
      <c r="AJ757" s="171">
        <v>0</v>
      </c>
      <c r="AK757" s="171">
        <f>W757/R757*100</f>
        <v>638.80529214695366</v>
      </c>
      <c r="AL757" s="171">
        <f>X757/W757*100</f>
        <v>0</v>
      </c>
      <c r="AM757" s="171"/>
      <c r="AN757" s="90"/>
      <c r="AO757" s="460"/>
      <c r="AP757" s="193" t="e">
        <f t="shared" ca="1" si="479"/>
        <v>#NAME?</v>
      </c>
      <c r="AQ757" s="200">
        <f>AQ758+AQ759</f>
        <v>443654.24</v>
      </c>
      <c r="AR757" s="204">
        <f t="shared" si="491"/>
        <v>638.80529214695366</v>
      </c>
      <c r="AS757" s="204">
        <f t="shared" si="484"/>
        <v>100</v>
      </c>
      <c r="AT757" s="204">
        <f t="shared" si="492"/>
        <v>638.80529214695366</v>
      </c>
      <c r="AU757" s="204">
        <f t="shared" si="485"/>
        <v>98.58983111111111</v>
      </c>
      <c r="AV757" s="204">
        <f t="shared" si="493"/>
        <v>629.79705865652147</v>
      </c>
    </row>
    <row r="758" spans="1:48" ht="12" customHeight="1">
      <c r="A758" s="53"/>
      <c r="B758" s="53"/>
      <c r="C758" s="53"/>
      <c r="D758" s="53"/>
      <c r="E758" s="53"/>
      <c r="F758" s="53"/>
      <c r="G758" s="53"/>
      <c r="H758" s="1" t="s">
        <v>623</v>
      </c>
      <c r="I758" s="397">
        <v>660</v>
      </c>
      <c r="J758" s="229">
        <v>4212</v>
      </c>
      <c r="K758" s="18" t="s">
        <v>624</v>
      </c>
      <c r="L758" s="130">
        <v>220425</v>
      </c>
      <c r="M758" s="130">
        <f>220425/7.5345</f>
        <v>29255.425044793945</v>
      </c>
      <c r="N758" s="131">
        <v>0</v>
      </c>
      <c r="O758" s="131">
        <v>0</v>
      </c>
      <c r="P758" s="132">
        <v>0</v>
      </c>
      <c r="Q758" s="132">
        <v>0</v>
      </c>
      <c r="R758" s="159">
        <v>0</v>
      </c>
      <c r="S758" s="165" t="e">
        <f ca="1">__xlfn.XLOOKUP(H758,[1]Izvršenje_proračuna_po_pozicija!$B$2:$B$153,[1]Izvršenje_proračuna_po_pozicija!$E$2:$E$153,0)</f>
        <v>#NAME?</v>
      </c>
      <c r="T758" s="165"/>
      <c r="U758" s="165"/>
      <c r="V758" s="200"/>
      <c r="W758" s="200"/>
      <c r="X758" s="164"/>
      <c r="Y758" s="378"/>
      <c r="Z758" s="378"/>
      <c r="AA758" s="370" t="e">
        <f t="shared" ca="1" si="482"/>
        <v>#NAME?</v>
      </c>
      <c r="AB758" s="183"/>
      <c r="AC758" s="178">
        <v>0</v>
      </c>
      <c r="AD758" s="178">
        <v>0</v>
      </c>
      <c r="AE758" s="178">
        <f>O758/M758*100</f>
        <v>0</v>
      </c>
      <c r="AF758" s="178"/>
      <c r="AG758" s="178"/>
      <c r="AH758" s="178"/>
      <c r="AI758" s="183"/>
      <c r="AJ758" s="378"/>
      <c r="AK758" s="171"/>
      <c r="AL758" s="171"/>
      <c r="AM758" s="171"/>
      <c r="AN758" s="165"/>
      <c r="AO758" s="460"/>
      <c r="AP758" s="193" t="e">
        <f t="shared" ca="1" si="479"/>
        <v>#NAME?</v>
      </c>
      <c r="AQ758" s="200"/>
      <c r="AR758" s="204"/>
      <c r="AS758" s="204"/>
      <c r="AT758" s="204"/>
      <c r="AU758" s="204"/>
      <c r="AV758" s="204"/>
    </row>
    <row r="759" spans="1:48" ht="12" customHeight="1">
      <c r="A759" s="53"/>
      <c r="B759" s="53"/>
      <c r="C759" s="53"/>
      <c r="D759" s="53"/>
      <c r="E759" s="53"/>
      <c r="F759" s="53"/>
      <c r="G759" s="53"/>
      <c r="H759" s="1" t="s">
        <v>625</v>
      </c>
      <c r="I759" s="397">
        <v>660</v>
      </c>
      <c r="J759" s="229">
        <v>4212</v>
      </c>
      <c r="K759" s="279" t="s">
        <v>626</v>
      </c>
      <c r="L759" s="130"/>
      <c r="M759" s="130"/>
      <c r="N759" s="131">
        <v>0</v>
      </c>
      <c r="O759" s="131">
        <f>N759/7.5345</f>
        <v>0</v>
      </c>
      <c r="P759" s="132">
        <v>265000</v>
      </c>
      <c r="Q759" s="163">
        <v>1000</v>
      </c>
      <c r="R759" s="159">
        <v>70444</v>
      </c>
      <c r="S759" s="165" t="e">
        <f ca="1">__xlfn.XLOOKUP(H759,[1]Izvršenje_proračuna_po_pozicija!$B$2:$B$153,[1]Izvršenje_proračuna_po_pozicija!$E$2:$E$153,0)</f>
        <v>#NAME?</v>
      </c>
      <c r="T759" s="165"/>
      <c r="U759" s="165"/>
      <c r="V759" s="200">
        <v>450000</v>
      </c>
      <c r="W759" s="200">
        <v>450000</v>
      </c>
      <c r="X759" s="164"/>
      <c r="Y759" s="378"/>
      <c r="Z759" s="378"/>
      <c r="AA759" s="370" t="e">
        <f t="shared" ca="1" si="482"/>
        <v>#NAME?</v>
      </c>
      <c r="AB759" s="183"/>
      <c r="AC759" s="178">
        <v>0</v>
      </c>
      <c r="AD759" s="178">
        <v>0</v>
      </c>
      <c r="AE759" s="178"/>
      <c r="AF759" s="178"/>
      <c r="AG759" s="178"/>
      <c r="AH759" s="178"/>
      <c r="AI759" s="183"/>
      <c r="AJ759" s="378"/>
      <c r="AK759" s="171">
        <f>W759/R759*100</f>
        <v>638.80529214695366</v>
      </c>
      <c r="AL759" s="171">
        <f>X759/W759*100</f>
        <v>0</v>
      </c>
      <c r="AM759" s="171"/>
      <c r="AN759" s="165"/>
      <c r="AO759" s="460"/>
      <c r="AP759" s="193" t="e">
        <f t="shared" ca="1" si="479"/>
        <v>#NAME?</v>
      </c>
      <c r="AQ759" s="200">
        <v>443654.24</v>
      </c>
      <c r="AR759" s="204">
        <f t="shared" si="491"/>
        <v>638.80529214695366</v>
      </c>
      <c r="AS759" s="204">
        <f t="shared" si="484"/>
        <v>100</v>
      </c>
      <c r="AT759" s="204">
        <f t="shared" si="492"/>
        <v>638.80529214695366</v>
      </c>
      <c r="AU759" s="204">
        <f t="shared" si="485"/>
        <v>98.58983111111111</v>
      </c>
      <c r="AV759" s="204">
        <f t="shared" si="493"/>
        <v>629.79705865652147</v>
      </c>
    </row>
    <row r="760" spans="1:48" ht="12" customHeight="1">
      <c r="A760" s="42"/>
      <c r="B760" s="42"/>
      <c r="C760" s="42"/>
      <c r="D760" s="42"/>
      <c r="E760" s="42"/>
      <c r="F760" s="42"/>
      <c r="G760" s="42"/>
      <c r="H760" s="308"/>
      <c r="I760" s="14"/>
      <c r="J760" s="2"/>
      <c r="K760" s="84"/>
      <c r="L760" s="85"/>
      <c r="M760" s="85"/>
      <c r="N760" s="86"/>
      <c r="O760" s="86"/>
      <c r="P760" s="87"/>
      <c r="Q760" s="87"/>
      <c r="R760" s="160"/>
      <c r="S760" s="165" t="e">
        <f ca="1">__xlfn.XLOOKUP(H760,[1]Izvršenje_proračuna_po_pozicija!$B$2:$B$153,[1]Izvršenje_proračuna_po_pozicija!$E$2:$E$153,0)</f>
        <v>#NAME?</v>
      </c>
      <c r="T760" s="165"/>
      <c r="U760" s="165"/>
      <c r="V760" s="200"/>
      <c r="W760" s="200"/>
      <c r="X760" s="361"/>
      <c r="Y760" s="373"/>
      <c r="Z760" s="373"/>
      <c r="AA760" s="370" t="e">
        <f t="shared" ca="1" si="482"/>
        <v>#NAME?</v>
      </c>
      <c r="AB760" s="181"/>
      <c r="AC760" s="182"/>
      <c r="AD760" s="182"/>
      <c r="AE760" s="178"/>
      <c r="AF760" s="178"/>
      <c r="AG760" s="178"/>
      <c r="AH760" s="178"/>
      <c r="AI760" s="181"/>
      <c r="AJ760" s="373"/>
      <c r="AK760" s="171"/>
      <c r="AL760" s="171"/>
      <c r="AM760" s="171"/>
      <c r="AN760" s="161"/>
      <c r="AO760" s="193"/>
      <c r="AP760" s="193" t="e">
        <f t="shared" ca="1" si="479"/>
        <v>#NAME?</v>
      </c>
      <c r="AQ760" s="200"/>
      <c r="AR760" s="204"/>
      <c r="AS760" s="204"/>
      <c r="AT760" s="204"/>
      <c r="AU760" s="204"/>
      <c r="AV760" s="204"/>
    </row>
    <row r="761" spans="1:48" ht="12" customHeight="1">
      <c r="A761" s="390" t="s">
        <v>627</v>
      </c>
      <c r="B761" s="391"/>
      <c r="C761" s="391"/>
      <c r="D761" s="391"/>
      <c r="E761" s="391"/>
      <c r="F761" s="391"/>
      <c r="G761" s="391"/>
      <c r="H761" s="392"/>
      <c r="I761" s="485" t="s">
        <v>628</v>
      </c>
      <c r="J761" s="486"/>
      <c r="K761" s="300"/>
      <c r="L761" s="112">
        <f t="shared" ref="L761:S761" si="497">L763</f>
        <v>0</v>
      </c>
      <c r="M761" s="112">
        <f t="shared" si="497"/>
        <v>0</v>
      </c>
      <c r="N761" s="113">
        <f t="shared" si="497"/>
        <v>16000</v>
      </c>
      <c r="O761" s="113">
        <f t="shared" si="497"/>
        <v>2123.5649346340169</v>
      </c>
      <c r="P761" s="114">
        <f t="shared" si="497"/>
        <v>425000</v>
      </c>
      <c r="Q761" s="114">
        <f t="shared" si="497"/>
        <v>525000</v>
      </c>
      <c r="R761" s="88">
        <f t="shared" si="497"/>
        <v>520620</v>
      </c>
      <c r="S761" s="90" t="e">
        <f t="shared" ca="1" si="497"/>
        <v>#NAME?</v>
      </c>
      <c r="T761" s="90"/>
      <c r="U761" s="90"/>
      <c r="V761" s="200">
        <f>V763</f>
        <v>15000</v>
      </c>
      <c r="W761" s="200">
        <f>W763</f>
        <v>15771</v>
      </c>
      <c r="X761" s="88">
        <f>X763</f>
        <v>0</v>
      </c>
      <c r="Y761" s="171">
        <f>Y763</f>
        <v>0</v>
      </c>
      <c r="Z761" s="171">
        <f>Z763</f>
        <v>0</v>
      </c>
      <c r="AA761" s="370" t="e">
        <f t="shared" ca="1" si="482"/>
        <v>#NAME?</v>
      </c>
      <c r="AB761" s="171"/>
      <c r="AC761" s="172">
        <f>AC763</f>
        <v>0</v>
      </c>
      <c r="AD761" s="172">
        <f>AD763</f>
        <v>0</v>
      </c>
      <c r="AE761" s="178"/>
      <c r="AF761" s="178"/>
      <c r="AG761" s="178"/>
      <c r="AH761" s="178"/>
      <c r="AI761" s="171"/>
      <c r="AJ761" s="171">
        <v>0</v>
      </c>
      <c r="AK761" s="171">
        <f>W761/R761*100</f>
        <v>3.0292727901348395</v>
      </c>
      <c r="AL761" s="171">
        <f>X761/W761*100</f>
        <v>0</v>
      </c>
      <c r="AM761" s="171"/>
      <c r="AN761" s="90"/>
      <c r="AO761" s="193"/>
      <c r="AP761" s="193" t="e">
        <f t="shared" ca="1" si="479"/>
        <v>#NAME?</v>
      </c>
      <c r="AQ761" s="200">
        <f>AQ763</f>
        <v>15771.47</v>
      </c>
      <c r="AR761" s="204">
        <f t="shared" si="491"/>
        <v>2.8811801313818139</v>
      </c>
      <c r="AS761" s="204"/>
      <c r="AT761" s="204">
        <f t="shared" si="492"/>
        <v>3.0292727901348395</v>
      </c>
      <c r="AU761" s="204">
        <f t="shared" si="485"/>
        <v>100.0029801534462</v>
      </c>
      <c r="AV761" s="204">
        <f t="shared" si="493"/>
        <v>3.0293630671122891</v>
      </c>
    </row>
    <row r="762" spans="1:48" ht="12" customHeight="1">
      <c r="A762" s="53"/>
      <c r="B762" s="53"/>
      <c r="C762" s="53"/>
      <c r="D762" s="53"/>
      <c r="E762" s="53"/>
      <c r="F762" s="53"/>
      <c r="G762" s="53"/>
      <c r="H762" s="1"/>
      <c r="I762" s="397"/>
      <c r="J762" s="229"/>
      <c r="K762" s="18"/>
      <c r="L762" s="466"/>
      <c r="M762" s="466"/>
      <c r="N762" s="467"/>
      <c r="O762" s="467"/>
      <c r="P762" s="468"/>
      <c r="Q762" s="468"/>
      <c r="R762" s="282"/>
      <c r="S762" s="165" t="e">
        <f ca="1">__xlfn.XLOOKUP(H762,[1]Izvršenje_proračuna_po_pozicija!$B$2:$B$153,[1]Izvršenje_proračuna_po_pozicija!$E$2:$E$153,0)</f>
        <v>#NAME?</v>
      </c>
      <c r="T762" s="165"/>
      <c r="U762" s="165"/>
      <c r="V762" s="200"/>
      <c r="W762" s="200"/>
      <c r="X762" s="167"/>
      <c r="Y762" s="424"/>
      <c r="Z762" s="424"/>
      <c r="AA762" s="370" t="e">
        <f t="shared" ca="1" si="482"/>
        <v>#NAME?</v>
      </c>
      <c r="AB762" s="223"/>
      <c r="AC762" s="224"/>
      <c r="AD762" s="224"/>
      <c r="AE762" s="178"/>
      <c r="AF762" s="178"/>
      <c r="AG762" s="178"/>
      <c r="AH762" s="178"/>
      <c r="AI762" s="223"/>
      <c r="AJ762" s="424"/>
      <c r="AK762" s="171"/>
      <c r="AL762" s="171"/>
      <c r="AM762" s="171"/>
      <c r="AN762" s="222"/>
      <c r="AO762" s="193"/>
      <c r="AP762" s="193" t="e">
        <f t="shared" ca="1" si="479"/>
        <v>#NAME?</v>
      </c>
      <c r="AQ762" s="200"/>
      <c r="AR762" s="204"/>
      <c r="AS762" s="204"/>
      <c r="AT762" s="204"/>
      <c r="AU762" s="204"/>
      <c r="AV762" s="204"/>
    </row>
    <row r="763" spans="1:48" ht="12" customHeight="1">
      <c r="A763" s="24"/>
      <c r="B763" s="24"/>
      <c r="C763" s="24"/>
      <c r="D763" s="24"/>
      <c r="E763" s="24"/>
      <c r="F763" s="24"/>
      <c r="G763" s="24"/>
      <c r="H763" s="393"/>
      <c r="I763" s="465"/>
      <c r="J763" s="281">
        <v>4</v>
      </c>
      <c r="K763" s="2" t="s">
        <v>611</v>
      </c>
      <c r="L763" s="112">
        <f t="shared" ref="L763:Z765" si="498">L764</f>
        <v>0</v>
      </c>
      <c r="M763" s="112">
        <f t="shared" si="498"/>
        <v>0</v>
      </c>
      <c r="N763" s="113">
        <f t="shared" si="498"/>
        <v>16000</v>
      </c>
      <c r="O763" s="113">
        <f t="shared" si="498"/>
        <v>2123.5649346340169</v>
      </c>
      <c r="P763" s="114">
        <f t="shared" si="498"/>
        <v>425000</v>
      </c>
      <c r="Q763" s="114">
        <f t="shared" si="498"/>
        <v>525000</v>
      </c>
      <c r="R763" s="88">
        <f t="shared" si="498"/>
        <v>520620</v>
      </c>
      <c r="S763" s="90" t="e">
        <f t="shared" ca="1" si="498"/>
        <v>#NAME?</v>
      </c>
      <c r="T763" s="90"/>
      <c r="U763" s="90"/>
      <c r="V763" s="200">
        <f>V764</f>
        <v>15000</v>
      </c>
      <c r="W763" s="200">
        <f t="shared" si="498"/>
        <v>15771</v>
      </c>
      <c r="X763" s="88">
        <f t="shared" si="498"/>
        <v>0</v>
      </c>
      <c r="Y763" s="171">
        <f t="shared" si="498"/>
        <v>0</v>
      </c>
      <c r="Z763" s="171">
        <f t="shared" si="498"/>
        <v>0</v>
      </c>
      <c r="AA763" s="370" t="e">
        <f t="shared" ca="1" si="482"/>
        <v>#NAME?</v>
      </c>
      <c r="AB763" s="171"/>
      <c r="AC763" s="172">
        <f t="shared" ref="AC763:AD765" si="499">AC764</f>
        <v>0</v>
      </c>
      <c r="AD763" s="172">
        <f t="shared" si="499"/>
        <v>0</v>
      </c>
      <c r="AE763" s="178"/>
      <c r="AF763" s="178"/>
      <c r="AG763" s="178"/>
      <c r="AH763" s="178"/>
      <c r="AI763" s="171"/>
      <c r="AJ763" s="171">
        <v>0</v>
      </c>
      <c r="AK763" s="171">
        <f>W763/R763*100</f>
        <v>3.0292727901348395</v>
      </c>
      <c r="AL763" s="171">
        <f>X763/W763*100</f>
        <v>0</v>
      </c>
      <c r="AM763" s="171"/>
      <c r="AN763" s="90"/>
      <c r="AO763" s="193"/>
      <c r="AP763" s="193" t="e">
        <f t="shared" ca="1" si="479"/>
        <v>#NAME?</v>
      </c>
      <c r="AQ763" s="200">
        <f>AQ764</f>
        <v>15771.47</v>
      </c>
      <c r="AR763" s="204">
        <f t="shared" si="491"/>
        <v>2.8811801313818139</v>
      </c>
      <c r="AS763" s="204"/>
      <c r="AT763" s="204">
        <f t="shared" si="492"/>
        <v>3.0292727901348395</v>
      </c>
      <c r="AU763" s="204">
        <f t="shared" si="485"/>
        <v>100.0029801534462</v>
      </c>
      <c r="AV763" s="204">
        <f t="shared" si="493"/>
        <v>3.0293630671122891</v>
      </c>
    </row>
    <row r="764" spans="1:48" ht="12" customHeight="1">
      <c r="A764" s="301"/>
      <c r="B764" s="301"/>
      <c r="C764" s="301"/>
      <c r="D764" s="301"/>
      <c r="E764" s="301"/>
      <c r="F764" s="301"/>
      <c r="G764" s="301"/>
      <c r="H764" s="307"/>
      <c r="I764" s="350"/>
      <c r="J764" s="302">
        <v>42</v>
      </c>
      <c r="K764" s="343" t="s">
        <v>612</v>
      </c>
      <c r="L764" s="112">
        <f t="shared" si="498"/>
        <v>0</v>
      </c>
      <c r="M764" s="112">
        <f t="shared" si="498"/>
        <v>0</v>
      </c>
      <c r="N764" s="113">
        <f t="shared" si="498"/>
        <v>16000</v>
      </c>
      <c r="O764" s="113">
        <f t="shared" si="498"/>
        <v>2123.5649346340169</v>
      </c>
      <c r="P764" s="114">
        <f t="shared" si="498"/>
        <v>425000</v>
      </c>
      <c r="Q764" s="114">
        <f t="shared" si="498"/>
        <v>525000</v>
      </c>
      <c r="R764" s="88">
        <f t="shared" si="498"/>
        <v>520620</v>
      </c>
      <c r="S764" s="90" t="e">
        <f t="shared" ca="1" si="498"/>
        <v>#NAME?</v>
      </c>
      <c r="T764" s="90"/>
      <c r="U764" s="90"/>
      <c r="V764" s="200">
        <f>V765</f>
        <v>15000</v>
      </c>
      <c r="W764" s="200">
        <f t="shared" si="498"/>
        <v>15771</v>
      </c>
      <c r="X764" s="88">
        <f t="shared" si="498"/>
        <v>0</v>
      </c>
      <c r="Y764" s="171">
        <f t="shared" si="498"/>
        <v>0</v>
      </c>
      <c r="Z764" s="171">
        <f t="shared" si="498"/>
        <v>0</v>
      </c>
      <c r="AA764" s="370" t="e">
        <f t="shared" ca="1" si="482"/>
        <v>#NAME?</v>
      </c>
      <c r="AB764" s="171"/>
      <c r="AC764" s="172">
        <f t="shared" si="499"/>
        <v>0</v>
      </c>
      <c r="AD764" s="172">
        <f t="shared" si="499"/>
        <v>0</v>
      </c>
      <c r="AE764" s="178"/>
      <c r="AF764" s="178"/>
      <c r="AG764" s="178"/>
      <c r="AH764" s="178"/>
      <c r="AI764" s="171"/>
      <c r="AJ764" s="171">
        <v>0</v>
      </c>
      <c r="AK764" s="171">
        <f>W764/R764*100</f>
        <v>3.0292727901348395</v>
      </c>
      <c r="AL764" s="171">
        <f>X764/W764*100</f>
        <v>0</v>
      </c>
      <c r="AM764" s="171"/>
      <c r="AN764" s="90"/>
      <c r="AO764" s="193"/>
      <c r="AP764" s="193" t="e">
        <f t="shared" ca="1" si="479"/>
        <v>#NAME?</v>
      </c>
      <c r="AQ764" s="200">
        <f>AQ765</f>
        <v>15771.47</v>
      </c>
      <c r="AR764" s="204">
        <f t="shared" si="491"/>
        <v>2.8811801313818139</v>
      </c>
      <c r="AS764" s="204"/>
      <c r="AT764" s="204">
        <f t="shared" si="492"/>
        <v>3.0292727901348395</v>
      </c>
      <c r="AU764" s="204">
        <f t="shared" si="485"/>
        <v>100.0029801534462</v>
      </c>
      <c r="AV764" s="204">
        <f t="shared" si="493"/>
        <v>3.0293630671122891</v>
      </c>
    </row>
    <row r="765" spans="1:48" ht="12" customHeight="1">
      <c r="A765" s="62"/>
      <c r="B765" s="62"/>
      <c r="C765" s="62"/>
      <c r="D765" s="62"/>
      <c r="E765" s="62"/>
      <c r="F765" s="62"/>
      <c r="G765" s="62"/>
      <c r="H765" s="304"/>
      <c r="I765" s="464"/>
      <c r="J765" s="303">
        <v>421</v>
      </c>
      <c r="K765" s="19" t="s">
        <v>465</v>
      </c>
      <c r="L765" s="112">
        <f t="shared" si="498"/>
        <v>0</v>
      </c>
      <c r="M765" s="112">
        <f t="shared" si="498"/>
        <v>0</v>
      </c>
      <c r="N765" s="113">
        <f t="shared" si="498"/>
        <v>16000</v>
      </c>
      <c r="O765" s="113">
        <f t="shared" si="498"/>
        <v>2123.5649346340169</v>
      </c>
      <c r="P765" s="114">
        <f t="shared" si="498"/>
        <v>425000</v>
      </c>
      <c r="Q765" s="114">
        <f t="shared" si="498"/>
        <v>525000</v>
      </c>
      <c r="R765" s="88">
        <f t="shared" si="498"/>
        <v>520620</v>
      </c>
      <c r="S765" s="90" t="e">
        <f t="shared" ca="1" si="498"/>
        <v>#NAME?</v>
      </c>
      <c r="T765" s="90"/>
      <c r="U765" s="90"/>
      <c r="V765" s="200">
        <f>V766</f>
        <v>15000</v>
      </c>
      <c r="W765" s="200">
        <f t="shared" si="498"/>
        <v>15771</v>
      </c>
      <c r="X765" s="88">
        <f t="shared" si="498"/>
        <v>0</v>
      </c>
      <c r="Y765" s="171">
        <f t="shared" si="498"/>
        <v>0</v>
      </c>
      <c r="Z765" s="171">
        <f t="shared" si="498"/>
        <v>0</v>
      </c>
      <c r="AA765" s="370" t="e">
        <f t="shared" ca="1" si="482"/>
        <v>#NAME?</v>
      </c>
      <c r="AB765" s="171"/>
      <c r="AC765" s="172">
        <f t="shared" si="499"/>
        <v>0</v>
      </c>
      <c r="AD765" s="172">
        <f t="shared" si="499"/>
        <v>0</v>
      </c>
      <c r="AE765" s="178"/>
      <c r="AF765" s="178"/>
      <c r="AG765" s="178"/>
      <c r="AH765" s="178"/>
      <c r="AI765" s="171"/>
      <c r="AJ765" s="171">
        <v>0</v>
      </c>
      <c r="AK765" s="171">
        <f>W765/R765*100</f>
        <v>3.0292727901348395</v>
      </c>
      <c r="AL765" s="171">
        <f>X765/W765*100</f>
        <v>0</v>
      </c>
      <c r="AM765" s="171"/>
      <c r="AN765" s="90"/>
      <c r="AO765" s="460"/>
      <c r="AP765" s="193" t="e">
        <f t="shared" ca="1" si="479"/>
        <v>#NAME?</v>
      </c>
      <c r="AQ765" s="200">
        <f>AQ766</f>
        <v>15771.47</v>
      </c>
      <c r="AR765" s="204">
        <f t="shared" si="491"/>
        <v>2.8811801313818139</v>
      </c>
      <c r="AS765" s="204"/>
      <c r="AT765" s="204">
        <f t="shared" si="492"/>
        <v>3.0292727901348395</v>
      </c>
      <c r="AU765" s="204">
        <f t="shared" si="485"/>
        <v>100.0029801534462</v>
      </c>
      <c r="AV765" s="204">
        <f t="shared" si="493"/>
        <v>3.0293630671122891</v>
      </c>
    </row>
    <row r="766" spans="1:48" ht="12" customHeight="1">
      <c r="A766" s="53"/>
      <c r="B766" s="53"/>
      <c r="C766" s="53"/>
      <c r="D766" s="53"/>
      <c r="E766" s="53"/>
      <c r="F766" s="53"/>
      <c r="G766" s="53"/>
      <c r="H766" s="1" t="s">
        <v>629</v>
      </c>
      <c r="I766" s="397">
        <v>660</v>
      </c>
      <c r="J766" s="229">
        <v>4212</v>
      </c>
      <c r="K766" s="18" t="s">
        <v>630</v>
      </c>
      <c r="L766" s="130">
        <v>0</v>
      </c>
      <c r="M766" s="130">
        <v>0</v>
      </c>
      <c r="N766" s="131">
        <v>16000</v>
      </c>
      <c r="O766" s="131">
        <f>N766/7.5345</f>
        <v>2123.5649346340169</v>
      </c>
      <c r="P766" s="132">
        <v>425000</v>
      </c>
      <c r="Q766" s="163">
        <v>525000</v>
      </c>
      <c r="R766" s="159">
        <v>520620</v>
      </c>
      <c r="S766" s="165" t="e">
        <f ca="1">__xlfn.XLOOKUP(H766,[1]Izvršenje_proračuna_po_pozicija!$B$2:$B$153,[1]Izvršenje_proračuna_po_pozicija!$E$2:$E$153,0)</f>
        <v>#NAME?</v>
      </c>
      <c r="T766" s="165"/>
      <c r="U766" s="165"/>
      <c r="V766" s="200">
        <v>15000</v>
      </c>
      <c r="W766" s="200">
        <v>15771</v>
      </c>
      <c r="X766" s="164">
        <v>0</v>
      </c>
      <c r="Y766" s="378">
        <v>0</v>
      </c>
      <c r="Z766" s="378"/>
      <c r="AA766" s="370" t="e">
        <f t="shared" ca="1" si="482"/>
        <v>#NAME?</v>
      </c>
      <c r="AB766" s="183"/>
      <c r="AC766" s="178">
        <v>0</v>
      </c>
      <c r="AD766" s="178">
        <v>0</v>
      </c>
      <c r="AE766" s="178"/>
      <c r="AF766" s="178"/>
      <c r="AG766" s="178"/>
      <c r="AH766" s="178"/>
      <c r="AI766" s="183"/>
      <c r="AJ766" s="378">
        <v>0</v>
      </c>
      <c r="AK766" s="171">
        <f>W766/R766*100</f>
        <v>3.0292727901348395</v>
      </c>
      <c r="AL766" s="171">
        <f>X766/W766*100</f>
        <v>0</v>
      </c>
      <c r="AM766" s="171"/>
      <c r="AN766" s="165"/>
      <c r="AO766" s="193"/>
      <c r="AP766" s="193" t="e">
        <f t="shared" ca="1" si="479"/>
        <v>#NAME?</v>
      </c>
      <c r="AQ766" s="200">
        <v>15771.47</v>
      </c>
      <c r="AR766" s="204">
        <f t="shared" si="491"/>
        <v>2.8811801313818139</v>
      </c>
      <c r="AS766" s="204"/>
      <c r="AT766" s="204">
        <f t="shared" si="492"/>
        <v>3.0292727901348395</v>
      </c>
      <c r="AU766" s="204">
        <f t="shared" si="485"/>
        <v>100.0029801534462</v>
      </c>
      <c r="AV766" s="204">
        <f t="shared" si="493"/>
        <v>3.0293630671122891</v>
      </c>
    </row>
    <row r="767" spans="1:48" ht="12" customHeight="1">
      <c r="A767" s="42"/>
      <c r="B767" s="42"/>
      <c r="C767" s="42"/>
      <c r="D767" s="42"/>
      <c r="E767" s="42"/>
      <c r="F767" s="42"/>
      <c r="G767" s="42"/>
      <c r="H767" s="308"/>
      <c r="I767" s="14"/>
      <c r="J767" s="2"/>
      <c r="K767" s="84"/>
      <c r="L767" s="85"/>
      <c r="M767" s="85"/>
      <c r="N767" s="86"/>
      <c r="O767" s="86"/>
      <c r="P767" s="87"/>
      <c r="Q767" s="87"/>
      <c r="R767" s="160"/>
      <c r="S767" s="165" t="e">
        <f ca="1">__xlfn.XLOOKUP(H767,[1]Izvršenje_proračuna_po_pozicija!$B$2:$B$153,[1]Izvršenje_proračuna_po_pozicija!$E$2:$E$153,0)</f>
        <v>#NAME?</v>
      </c>
      <c r="T767" s="165"/>
      <c r="U767" s="165"/>
      <c r="V767" s="200"/>
      <c r="W767" s="200"/>
      <c r="X767" s="361"/>
      <c r="Y767" s="373"/>
      <c r="Z767" s="373"/>
      <c r="AA767" s="370" t="e">
        <f t="shared" ca="1" si="482"/>
        <v>#NAME?</v>
      </c>
      <c r="AB767" s="181"/>
      <c r="AC767" s="182"/>
      <c r="AD767" s="182"/>
      <c r="AE767" s="178"/>
      <c r="AF767" s="178"/>
      <c r="AG767" s="178"/>
      <c r="AH767" s="178"/>
      <c r="AI767" s="181"/>
      <c r="AJ767" s="373"/>
      <c r="AK767" s="171"/>
      <c r="AL767" s="171"/>
      <c r="AM767" s="171"/>
      <c r="AN767" s="161"/>
      <c r="AO767" s="193"/>
      <c r="AP767" s="193" t="e">
        <f t="shared" ca="1" si="479"/>
        <v>#NAME?</v>
      </c>
      <c r="AQ767" s="200"/>
      <c r="AR767" s="204"/>
      <c r="AS767" s="204"/>
      <c r="AT767" s="204"/>
      <c r="AU767" s="204"/>
      <c r="AV767" s="204"/>
    </row>
    <row r="768" spans="1:48" ht="12" customHeight="1">
      <c r="A768" s="437"/>
      <c r="B768" s="437"/>
      <c r="C768" s="437"/>
      <c r="D768" s="437"/>
      <c r="E768" s="437"/>
      <c r="F768" s="437"/>
      <c r="G768" s="437"/>
      <c r="H768" s="438"/>
      <c r="I768" s="489" t="s">
        <v>631</v>
      </c>
      <c r="J768" s="490"/>
      <c r="K768" s="297"/>
      <c r="L768" s="112">
        <f t="shared" ref="L768:S768" si="500">L769+L776</f>
        <v>79852</v>
      </c>
      <c r="M768" s="112">
        <f t="shared" si="500"/>
        <v>10598.181697524718</v>
      </c>
      <c r="N768" s="113">
        <f t="shared" si="500"/>
        <v>86356</v>
      </c>
      <c r="O768" s="113">
        <f t="shared" si="500"/>
        <v>11461.410843453446</v>
      </c>
      <c r="P768" s="114">
        <f t="shared" si="500"/>
        <v>20000</v>
      </c>
      <c r="Q768" s="114">
        <f t="shared" si="500"/>
        <v>22000</v>
      </c>
      <c r="R768" s="88">
        <f t="shared" si="500"/>
        <v>10574</v>
      </c>
      <c r="S768" s="90" t="e">
        <f t="shared" ca="1" si="500"/>
        <v>#NAME?</v>
      </c>
      <c r="T768" s="90"/>
      <c r="U768" s="90"/>
      <c r="V768" s="200">
        <f>V769+V776</f>
        <v>18000</v>
      </c>
      <c r="W768" s="200">
        <f>W769+W776</f>
        <v>18000</v>
      </c>
      <c r="X768" s="88">
        <f>X769+X776</f>
        <v>27000</v>
      </c>
      <c r="Y768" s="171">
        <f>Y769+Y776</f>
        <v>35000</v>
      </c>
      <c r="Z768" s="171">
        <f>Z769+Z776</f>
        <v>0</v>
      </c>
      <c r="AA768" s="370" t="e">
        <f t="shared" ca="1" si="482"/>
        <v>#NAME?</v>
      </c>
      <c r="AB768" s="171"/>
      <c r="AC768" s="172">
        <f>AC769+AC776</f>
        <v>20000</v>
      </c>
      <c r="AD768" s="172">
        <f>AD769+AD776</f>
        <v>20000</v>
      </c>
      <c r="AE768" s="178">
        <f>O768/M768*100</f>
        <v>108.14506837649651</v>
      </c>
      <c r="AF768" s="178">
        <f>P768/O768*100</f>
        <v>174.49858724350364</v>
      </c>
      <c r="AG768" s="178">
        <f>Q768/P768*100</f>
        <v>110.00000000000001</v>
      </c>
      <c r="AH768" s="178">
        <f>AC768/Q768*100</f>
        <v>90.909090909090907</v>
      </c>
      <c r="AI768" s="171"/>
      <c r="AJ768" s="171">
        <v>35000</v>
      </c>
      <c r="AK768" s="171">
        <f>W768/R768*100</f>
        <v>170.22886324947984</v>
      </c>
      <c r="AL768" s="171">
        <f>X768/W768*100</f>
        <v>150</v>
      </c>
      <c r="AM768" s="171">
        <f>Y768/X768*100</f>
        <v>129.62962962962962</v>
      </c>
      <c r="AN768" s="90"/>
      <c r="AO768" s="193"/>
      <c r="AP768" s="193" t="e">
        <f t="shared" ca="1" si="479"/>
        <v>#NAME?</v>
      </c>
      <c r="AQ768" s="200">
        <f>AQ769+AQ776</f>
        <v>5406.15</v>
      </c>
      <c r="AR768" s="204">
        <f t="shared" si="491"/>
        <v>170.22886324947984</v>
      </c>
      <c r="AS768" s="204">
        <f t="shared" si="484"/>
        <v>100</v>
      </c>
      <c r="AT768" s="204">
        <f t="shared" si="492"/>
        <v>170.22886324947984</v>
      </c>
      <c r="AU768" s="204">
        <f t="shared" si="485"/>
        <v>30.034166666666668</v>
      </c>
      <c r="AV768" s="204">
        <f t="shared" si="493"/>
        <v>51.126820503120861</v>
      </c>
    </row>
    <row r="769" spans="1:48" ht="12" customHeight="1">
      <c r="A769" s="390" t="s">
        <v>331</v>
      </c>
      <c r="B769" s="391"/>
      <c r="C769" s="391"/>
      <c r="D769" s="391"/>
      <c r="E769" s="391"/>
      <c r="F769" s="391"/>
      <c r="G769" s="391"/>
      <c r="H769" s="435"/>
      <c r="I769" s="482" t="s">
        <v>632</v>
      </c>
      <c r="J769" s="483"/>
      <c r="K769" s="484"/>
      <c r="L769" s="335">
        <f t="shared" ref="L769:S769" si="501">L771</f>
        <v>31852</v>
      </c>
      <c r="M769" s="335">
        <f t="shared" si="501"/>
        <v>4227.4868936226685</v>
      </c>
      <c r="N769" s="336">
        <f t="shared" si="501"/>
        <v>56356</v>
      </c>
      <c r="O769" s="336">
        <f t="shared" si="501"/>
        <v>7479.7265910146652</v>
      </c>
      <c r="P769" s="337">
        <f t="shared" si="501"/>
        <v>10000</v>
      </c>
      <c r="Q769" s="337">
        <f t="shared" si="501"/>
        <v>12000</v>
      </c>
      <c r="R769" s="359">
        <f t="shared" si="501"/>
        <v>6574</v>
      </c>
      <c r="S769" s="360" t="e">
        <f t="shared" ca="1" si="501"/>
        <v>#NAME?</v>
      </c>
      <c r="T769" s="360"/>
      <c r="U769" s="360"/>
      <c r="V769" s="200">
        <f>V771</f>
        <v>8000</v>
      </c>
      <c r="W769" s="200">
        <f>W771</f>
        <v>8000</v>
      </c>
      <c r="X769" s="359">
        <f>X771</f>
        <v>12000</v>
      </c>
      <c r="Y769" s="371">
        <f>Y771</f>
        <v>15000</v>
      </c>
      <c r="Z769" s="371">
        <f>Z771</f>
        <v>0</v>
      </c>
      <c r="AA769" s="370" t="e">
        <f t="shared" ca="1" si="482"/>
        <v>#NAME?</v>
      </c>
      <c r="AB769" s="371"/>
      <c r="AC769" s="372">
        <f>AC771</f>
        <v>10000</v>
      </c>
      <c r="AD769" s="372">
        <f>AD771</f>
        <v>10000</v>
      </c>
      <c r="AE769" s="178">
        <f>O769/M769*100</f>
        <v>176.93080497300014</v>
      </c>
      <c r="AF769" s="178">
        <f>P769/O769*100</f>
        <v>133.69472638228405</v>
      </c>
      <c r="AG769" s="178">
        <f>Q769/P769*100</f>
        <v>120</v>
      </c>
      <c r="AH769" s="178">
        <f>AC769/Q769*100</f>
        <v>83.333333333333343</v>
      </c>
      <c r="AI769" s="371"/>
      <c r="AJ769" s="371">
        <v>15000</v>
      </c>
      <c r="AK769" s="171">
        <f>W769/R769*100</f>
        <v>121.69151201703681</v>
      </c>
      <c r="AL769" s="171">
        <f>X769/W769*100</f>
        <v>150</v>
      </c>
      <c r="AM769" s="171">
        <f>Y769/X769*100</f>
        <v>125</v>
      </c>
      <c r="AN769" s="360"/>
      <c r="AO769" s="193"/>
      <c r="AP769" s="193" t="e">
        <f t="shared" ca="1" si="479"/>
        <v>#NAME?</v>
      </c>
      <c r="AQ769" s="200">
        <f>AQ771</f>
        <v>3906.15</v>
      </c>
      <c r="AR769" s="204">
        <f t="shared" si="491"/>
        <v>121.69151201703681</v>
      </c>
      <c r="AS769" s="204">
        <f t="shared" si="484"/>
        <v>100</v>
      </c>
      <c r="AT769" s="204">
        <f t="shared" si="492"/>
        <v>121.69151201703681</v>
      </c>
      <c r="AU769" s="204">
        <f t="shared" si="485"/>
        <v>48.826875000000001</v>
      </c>
      <c r="AV769" s="204">
        <f t="shared" si="493"/>
        <v>59.418162458168545</v>
      </c>
    </row>
    <row r="770" spans="1:48" ht="12" customHeight="1">
      <c r="A770" s="69"/>
      <c r="B770" s="69"/>
      <c r="C770" s="69"/>
      <c r="D770" s="69"/>
      <c r="E770" s="69"/>
      <c r="F770" s="69"/>
      <c r="G770" s="69"/>
      <c r="H770" s="436"/>
      <c r="I770" s="3"/>
      <c r="J770" s="7"/>
      <c r="K770" s="7"/>
      <c r="L770" s="85"/>
      <c r="M770" s="85"/>
      <c r="N770" s="86"/>
      <c r="O770" s="86"/>
      <c r="P770" s="87"/>
      <c r="Q770" s="87"/>
      <c r="R770" s="160"/>
      <c r="S770" s="165" t="e">
        <f ca="1">__xlfn.XLOOKUP(H770,[1]Izvršenje_proračuna_po_pozicija!$B$2:$B$153,[1]Izvršenje_proračuna_po_pozicija!$E$2:$E$153,0)</f>
        <v>#NAME?</v>
      </c>
      <c r="T770" s="165"/>
      <c r="U770" s="165"/>
      <c r="V770" s="200"/>
      <c r="W770" s="200"/>
      <c r="X770" s="361"/>
      <c r="Y770" s="373"/>
      <c r="Z770" s="373"/>
      <c r="AA770" s="370" t="e">
        <f t="shared" ca="1" si="482"/>
        <v>#NAME?</v>
      </c>
      <c r="AB770" s="181"/>
      <c r="AC770" s="182"/>
      <c r="AD770" s="182"/>
      <c r="AE770" s="178"/>
      <c r="AF770" s="178"/>
      <c r="AG770" s="178"/>
      <c r="AH770" s="178"/>
      <c r="AI770" s="181"/>
      <c r="AJ770" s="373"/>
      <c r="AK770" s="171"/>
      <c r="AL770" s="171"/>
      <c r="AM770" s="171"/>
      <c r="AN770" s="161"/>
      <c r="AO770" s="193"/>
      <c r="AP770" s="193" t="e">
        <f t="shared" ca="1" si="479"/>
        <v>#NAME?</v>
      </c>
      <c r="AQ770" s="200"/>
      <c r="AR770" s="204"/>
      <c r="AS770" s="204"/>
      <c r="AT770" s="204"/>
      <c r="AU770" s="204"/>
      <c r="AV770" s="204"/>
    </row>
    <row r="771" spans="1:48" ht="12" customHeight="1">
      <c r="A771" s="24"/>
      <c r="B771" s="24"/>
      <c r="C771" s="24"/>
      <c r="D771" s="24"/>
      <c r="E771" s="24"/>
      <c r="F771" s="24"/>
      <c r="G771" s="24"/>
      <c r="H771" s="393"/>
      <c r="I771" s="465"/>
      <c r="J771" s="281">
        <v>3</v>
      </c>
      <c r="K771" s="2" t="s">
        <v>224</v>
      </c>
      <c r="L771" s="112">
        <f t="shared" ref="L771:AD773" si="502">L772</f>
        <v>31852</v>
      </c>
      <c r="M771" s="112">
        <f t="shared" si="502"/>
        <v>4227.4868936226685</v>
      </c>
      <c r="N771" s="113">
        <f t="shared" si="502"/>
        <v>56356</v>
      </c>
      <c r="O771" s="113">
        <f t="shared" si="502"/>
        <v>7479.7265910146652</v>
      </c>
      <c r="P771" s="114">
        <f t="shared" si="502"/>
        <v>10000</v>
      </c>
      <c r="Q771" s="114">
        <f t="shared" si="502"/>
        <v>12000</v>
      </c>
      <c r="R771" s="88">
        <f t="shared" si="502"/>
        <v>6574</v>
      </c>
      <c r="S771" s="90" t="e">
        <f t="shared" ca="1" si="502"/>
        <v>#NAME?</v>
      </c>
      <c r="T771" s="90"/>
      <c r="U771" s="90"/>
      <c r="V771" s="200">
        <f>V772</f>
        <v>8000</v>
      </c>
      <c r="W771" s="200">
        <f t="shared" si="502"/>
        <v>8000</v>
      </c>
      <c r="X771" s="88">
        <f t="shared" si="502"/>
        <v>12000</v>
      </c>
      <c r="Y771" s="171">
        <f t="shared" si="502"/>
        <v>15000</v>
      </c>
      <c r="Z771" s="171">
        <f t="shared" si="502"/>
        <v>0</v>
      </c>
      <c r="AA771" s="370" t="e">
        <f t="shared" ca="1" si="482"/>
        <v>#NAME?</v>
      </c>
      <c r="AB771" s="171"/>
      <c r="AC771" s="172">
        <f t="shared" si="502"/>
        <v>10000</v>
      </c>
      <c r="AD771" s="172">
        <f t="shared" si="502"/>
        <v>10000</v>
      </c>
      <c r="AE771" s="178">
        <f>O771/M771*100</f>
        <v>176.93080497300014</v>
      </c>
      <c r="AF771" s="178">
        <f t="shared" ref="AF771:AG774" si="503">P771/O771*100</f>
        <v>133.69472638228405</v>
      </c>
      <c r="AG771" s="178">
        <f t="shared" si="503"/>
        <v>120</v>
      </c>
      <c r="AH771" s="178">
        <f>AC771/Q771*100</f>
        <v>83.333333333333343</v>
      </c>
      <c r="AI771" s="171"/>
      <c r="AJ771" s="171">
        <v>15000</v>
      </c>
      <c r="AK771" s="171">
        <f>W771/R771*100</f>
        <v>121.69151201703681</v>
      </c>
      <c r="AL771" s="171">
        <f t="shared" ref="AL771:AM774" si="504">X771/W771*100</f>
        <v>150</v>
      </c>
      <c r="AM771" s="171">
        <f t="shared" si="504"/>
        <v>125</v>
      </c>
      <c r="AN771" s="90"/>
      <c r="AO771" s="193"/>
      <c r="AP771" s="193" t="e">
        <f t="shared" ca="1" si="479"/>
        <v>#NAME?</v>
      </c>
      <c r="AQ771" s="200">
        <f>AQ772</f>
        <v>3906.15</v>
      </c>
      <c r="AR771" s="204">
        <f t="shared" si="491"/>
        <v>121.69151201703681</v>
      </c>
      <c r="AS771" s="204">
        <f t="shared" si="484"/>
        <v>100</v>
      </c>
      <c r="AT771" s="204">
        <f t="shared" si="492"/>
        <v>121.69151201703681</v>
      </c>
      <c r="AU771" s="204">
        <f t="shared" si="485"/>
        <v>48.826875000000001</v>
      </c>
      <c r="AV771" s="204">
        <f t="shared" si="493"/>
        <v>59.418162458168545</v>
      </c>
    </row>
    <row r="772" spans="1:48" ht="12" customHeight="1">
      <c r="A772" s="301"/>
      <c r="B772" s="301"/>
      <c r="C772" s="301"/>
      <c r="D772" s="301"/>
      <c r="E772" s="301"/>
      <c r="F772" s="301"/>
      <c r="G772" s="301"/>
      <c r="H772" s="307"/>
      <c r="I772" s="350"/>
      <c r="J772" s="302">
        <v>32</v>
      </c>
      <c r="K772" s="343" t="s">
        <v>233</v>
      </c>
      <c r="L772" s="112">
        <f t="shared" si="502"/>
        <v>31852</v>
      </c>
      <c r="M772" s="112">
        <f t="shared" si="502"/>
        <v>4227.4868936226685</v>
      </c>
      <c r="N772" s="113">
        <f t="shared" si="502"/>
        <v>56356</v>
      </c>
      <c r="O772" s="113">
        <f t="shared" si="502"/>
        <v>7479.7265910146652</v>
      </c>
      <c r="P772" s="114">
        <f t="shared" si="502"/>
        <v>10000</v>
      </c>
      <c r="Q772" s="114">
        <f t="shared" si="502"/>
        <v>12000</v>
      </c>
      <c r="R772" s="88">
        <f t="shared" si="502"/>
        <v>6574</v>
      </c>
      <c r="S772" s="90" t="e">
        <f t="shared" ca="1" si="502"/>
        <v>#NAME?</v>
      </c>
      <c r="T772" s="90"/>
      <c r="U772" s="90"/>
      <c r="V772" s="200">
        <f>V773</f>
        <v>8000</v>
      </c>
      <c r="W772" s="200">
        <f t="shared" si="502"/>
        <v>8000</v>
      </c>
      <c r="X772" s="88">
        <f t="shared" si="502"/>
        <v>12000</v>
      </c>
      <c r="Y772" s="171">
        <f t="shared" si="502"/>
        <v>15000</v>
      </c>
      <c r="Z772" s="171">
        <f t="shared" si="502"/>
        <v>0</v>
      </c>
      <c r="AA772" s="370" t="e">
        <f t="shared" ca="1" si="482"/>
        <v>#NAME?</v>
      </c>
      <c r="AB772" s="171"/>
      <c r="AC772" s="172">
        <f t="shared" si="502"/>
        <v>10000</v>
      </c>
      <c r="AD772" s="172">
        <f t="shared" si="502"/>
        <v>10000</v>
      </c>
      <c r="AE772" s="178">
        <f>O772/M772*100</f>
        <v>176.93080497300014</v>
      </c>
      <c r="AF772" s="178">
        <f t="shared" si="503"/>
        <v>133.69472638228405</v>
      </c>
      <c r="AG772" s="178">
        <f t="shared" si="503"/>
        <v>120</v>
      </c>
      <c r="AH772" s="178">
        <f>AC772/Q772*100</f>
        <v>83.333333333333343</v>
      </c>
      <c r="AI772" s="171"/>
      <c r="AJ772" s="171">
        <v>15000</v>
      </c>
      <c r="AK772" s="171">
        <f>W772/R772*100</f>
        <v>121.69151201703681</v>
      </c>
      <c r="AL772" s="171">
        <f t="shared" si="504"/>
        <v>150</v>
      </c>
      <c r="AM772" s="171">
        <f t="shared" si="504"/>
        <v>125</v>
      </c>
      <c r="AN772" s="90"/>
      <c r="AO772" s="193"/>
      <c r="AP772" s="193" t="e">
        <f t="shared" ca="1" si="479"/>
        <v>#NAME?</v>
      </c>
      <c r="AQ772" s="200">
        <f>AQ773</f>
        <v>3906.15</v>
      </c>
      <c r="AR772" s="204">
        <f t="shared" si="491"/>
        <v>121.69151201703681</v>
      </c>
      <c r="AS772" s="204">
        <f t="shared" si="484"/>
        <v>100</v>
      </c>
      <c r="AT772" s="204">
        <f t="shared" si="492"/>
        <v>121.69151201703681</v>
      </c>
      <c r="AU772" s="204">
        <f t="shared" si="485"/>
        <v>48.826875000000001</v>
      </c>
      <c r="AV772" s="204">
        <f t="shared" si="493"/>
        <v>59.418162458168545</v>
      </c>
    </row>
    <row r="773" spans="1:48" ht="12" customHeight="1">
      <c r="A773" s="62"/>
      <c r="B773" s="62"/>
      <c r="C773" s="62"/>
      <c r="D773" s="62"/>
      <c r="E773" s="62"/>
      <c r="F773" s="62"/>
      <c r="G773" s="62"/>
      <c r="H773" s="304"/>
      <c r="I773" s="464"/>
      <c r="J773" s="303">
        <v>329</v>
      </c>
      <c r="K773" s="19" t="s">
        <v>633</v>
      </c>
      <c r="L773" s="112">
        <f t="shared" si="502"/>
        <v>31852</v>
      </c>
      <c r="M773" s="112">
        <f t="shared" si="502"/>
        <v>4227.4868936226685</v>
      </c>
      <c r="N773" s="113">
        <f t="shared" si="502"/>
        <v>56356</v>
      </c>
      <c r="O773" s="113">
        <f t="shared" si="502"/>
        <v>7479.7265910146652</v>
      </c>
      <c r="P773" s="114">
        <f t="shared" si="502"/>
        <v>10000</v>
      </c>
      <c r="Q773" s="114">
        <f t="shared" si="502"/>
        <v>12000</v>
      </c>
      <c r="R773" s="88">
        <f t="shared" si="502"/>
        <v>6574</v>
      </c>
      <c r="S773" s="90" t="e">
        <f t="shared" ca="1" si="502"/>
        <v>#NAME?</v>
      </c>
      <c r="T773" s="90"/>
      <c r="U773" s="90"/>
      <c r="V773" s="200">
        <f>V774</f>
        <v>8000</v>
      </c>
      <c r="W773" s="200">
        <f t="shared" si="502"/>
        <v>8000</v>
      </c>
      <c r="X773" s="88">
        <f t="shared" si="502"/>
        <v>12000</v>
      </c>
      <c r="Y773" s="171">
        <f t="shared" si="502"/>
        <v>15000</v>
      </c>
      <c r="Z773" s="171">
        <f t="shared" si="502"/>
        <v>0</v>
      </c>
      <c r="AA773" s="370" t="e">
        <f t="shared" ca="1" si="482"/>
        <v>#NAME?</v>
      </c>
      <c r="AB773" s="171"/>
      <c r="AC773" s="172">
        <f>AC774</f>
        <v>10000</v>
      </c>
      <c r="AD773" s="172">
        <f>AD774</f>
        <v>10000</v>
      </c>
      <c r="AE773" s="178">
        <f>O773/M773*100</f>
        <v>176.93080497300014</v>
      </c>
      <c r="AF773" s="178">
        <f t="shared" si="503"/>
        <v>133.69472638228405</v>
      </c>
      <c r="AG773" s="178">
        <f t="shared" si="503"/>
        <v>120</v>
      </c>
      <c r="AH773" s="178">
        <f>AC773/Q773*100</f>
        <v>83.333333333333343</v>
      </c>
      <c r="AI773" s="171"/>
      <c r="AJ773" s="171">
        <v>15000</v>
      </c>
      <c r="AK773" s="171">
        <f>W773/R773*100</f>
        <v>121.69151201703681</v>
      </c>
      <c r="AL773" s="171">
        <f t="shared" si="504"/>
        <v>150</v>
      </c>
      <c r="AM773" s="171">
        <f t="shared" si="504"/>
        <v>125</v>
      </c>
      <c r="AN773" s="90"/>
      <c r="AO773" s="193"/>
      <c r="AP773" s="193" t="e">
        <f t="shared" ca="1" si="479"/>
        <v>#NAME?</v>
      </c>
      <c r="AQ773" s="200">
        <f>AQ774</f>
        <v>3906.15</v>
      </c>
      <c r="AR773" s="204">
        <f t="shared" si="491"/>
        <v>121.69151201703681</v>
      </c>
      <c r="AS773" s="204">
        <f t="shared" si="484"/>
        <v>100</v>
      </c>
      <c r="AT773" s="204">
        <f t="shared" si="492"/>
        <v>121.69151201703681</v>
      </c>
      <c r="AU773" s="204">
        <f t="shared" si="485"/>
        <v>48.826875000000001</v>
      </c>
      <c r="AV773" s="204">
        <f t="shared" si="493"/>
        <v>59.418162458168545</v>
      </c>
    </row>
    <row r="774" spans="1:48" ht="12" customHeight="1">
      <c r="A774" s="53"/>
      <c r="B774" s="53"/>
      <c r="C774" s="53"/>
      <c r="D774" s="53"/>
      <c r="E774" s="53"/>
      <c r="F774" s="53"/>
      <c r="G774" s="53"/>
      <c r="H774" s="16" t="s">
        <v>634</v>
      </c>
      <c r="I774" s="481">
        <v>760</v>
      </c>
      <c r="J774" s="407">
        <v>3299</v>
      </c>
      <c r="K774" s="412" t="s">
        <v>635</v>
      </c>
      <c r="L774" s="413">
        <v>31852</v>
      </c>
      <c r="M774" s="413">
        <f>31852/7.5345</f>
        <v>4227.4868936226685</v>
      </c>
      <c r="N774" s="414">
        <v>56356</v>
      </c>
      <c r="O774" s="414">
        <f>N774/7.5345</f>
        <v>7479.7265910146652</v>
      </c>
      <c r="P774" s="415">
        <v>10000</v>
      </c>
      <c r="Q774" s="500">
        <v>12000</v>
      </c>
      <c r="R774" s="421">
        <v>6574</v>
      </c>
      <c r="S774" s="165" t="e">
        <f ca="1">__xlfn.XLOOKUP(H774,[1]Izvršenje_proračuna_po_pozicija!$B$2:$B$153,[1]Izvršenje_proračuna_po_pozicija!$E$2:$E$153,0)</f>
        <v>#NAME?</v>
      </c>
      <c r="T774" s="419"/>
      <c r="U774" s="419"/>
      <c r="V774" s="200">
        <v>8000</v>
      </c>
      <c r="W774" s="200">
        <v>8000</v>
      </c>
      <c r="X774" s="422">
        <v>12000</v>
      </c>
      <c r="Y774" s="429">
        <v>15000</v>
      </c>
      <c r="Z774" s="429"/>
      <c r="AA774" s="370" t="e">
        <f t="shared" ca="1" si="482"/>
        <v>#NAME?</v>
      </c>
      <c r="AB774" s="430"/>
      <c r="AC774" s="431">
        <v>10000</v>
      </c>
      <c r="AD774" s="431">
        <v>10000</v>
      </c>
      <c r="AE774" s="178">
        <f>O774/M774*100</f>
        <v>176.93080497300014</v>
      </c>
      <c r="AF774" s="178">
        <f t="shared" si="503"/>
        <v>133.69472638228405</v>
      </c>
      <c r="AG774" s="178">
        <f t="shared" si="503"/>
        <v>120</v>
      </c>
      <c r="AH774" s="178">
        <f>AC774/Q774*100</f>
        <v>83.333333333333343</v>
      </c>
      <c r="AI774" s="430"/>
      <c r="AJ774" s="429">
        <v>15000</v>
      </c>
      <c r="AK774" s="171">
        <f>W774/R774*100</f>
        <v>121.69151201703681</v>
      </c>
      <c r="AL774" s="171">
        <f t="shared" si="504"/>
        <v>150</v>
      </c>
      <c r="AM774" s="171">
        <f t="shared" si="504"/>
        <v>125</v>
      </c>
      <c r="AN774" s="419"/>
      <c r="AO774" s="193"/>
      <c r="AP774" s="193" t="e">
        <f t="shared" ca="1" si="479"/>
        <v>#NAME?</v>
      </c>
      <c r="AQ774" s="200">
        <v>3906.15</v>
      </c>
      <c r="AR774" s="204">
        <f t="shared" si="491"/>
        <v>121.69151201703681</v>
      </c>
      <c r="AS774" s="204">
        <f t="shared" si="484"/>
        <v>100</v>
      </c>
      <c r="AT774" s="204">
        <f t="shared" si="492"/>
        <v>121.69151201703681</v>
      </c>
      <c r="AU774" s="204">
        <f t="shared" si="485"/>
        <v>48.826875000000001</v>
      </c>
      <c r="AV774" s="204">
        <f t="shared" si="493"/>
        <v>59.418162458168545</v>
      </c>
    </row>
    <row r="775" spans="1:48" ht="12" customHeight="1">
      <c r="A775" s="53"/>
      <c r="B775" s="53"/>
      <c r="C775" s="53"/>
      <c r="D775" s="53"/>
      <c r="E775" s="53"/>
      <c r="F775" s="53"/>
      <c r="G775" s="53"/>
      <c r="H775" s="16"/>
      <c r="I775" s="481"/>
      <c r="J775" s="407"/>
      <c r="K775" s="412"/>
      <c r="L775" s="413"/>
      <c r="M775" s="413"/>
      <c r="N775" s="414"/>
      <c r="O775" s="414"/>
      <c r="P775" s="415"/>
      <c r="Q775" s="415"/>
      <c r="R775" s="421"/>
      <c r="S775" s="165" t="e">
        <f ca="1">__xlfn.XLOOKUP(H775,[1]Izvršenje_proračuna_po_pozicija!$B$2:$B$153,[1]Izvršenje_proračuna_po_pozicija!$E$2:$E$153,0)</f>
        <v>#NAME?</v>
      </c>
      <c r="T775" s="419"/>
      <c r="U775" s="419"/>
      <c r="V775" s="200"/>
      <c r="W775" s="200"/>
      <c r="X775" s="422"/>
      <c r="Y775" s="429"/>
      <c r="Z775" s="429"/>
      <c r="AA775" s="370" t="e">
        <f t="shared" ca="1" si="482"/>
        <v>#NAME?</v>
      </c>
      <c r="AB775" s="430"/>
      <c r="AC775" s="431"/>
      <c r="AD775" s="431"/>
      <c r="AE775" s="178"/>
      <c r="AF775" s="178"/>
      <c r="AG775" s="178"/>
      <c r="AH775" s="178"/>
      <c r="AI775" s="430"/>
      <c r="AJ775" s="429"/>
      <c r="AK775" s="171"/>
      <c r="AL775" s="171"/>
      <c r="AM775" s="171"/>
      <c r="AN775" s="419"/>
      <c r="AO775" s="193"/>
      <c r="AP775" s="193" t="e">
        <f t="shared" ca="1" si="479"/>
        <v>#NAME?</v>
      </c>
      <c r="AQ775" s="200"/>
      <c r="AR775" s="204"/>
      <c r="AS775" s="204"/>
      <c r="AT775" s="204"/>
      <c r="AU775" s="204"/>
      <c r="AV775" s="204"/>
    </row>
    <row r="776" spans="1:48" ht="12" customHeight="1">
      <c r="A776" s="390" t="s">
        <v>366</v>
      </c>
      <c r="B776" s="391"/>
      <c r="C776" s="391"/>
      <c r="D776" s="391"/>
      <c r="E776" s="391"/>
      <c r="F776" s="391"/>
      <c r="G776" s="391"/>
      <c r="H776" s="435"/>
      <c r="I776" s="482" t="s">
        <v>636</v>
      </c>
      <c r="J776" s="483"/>
      <c r="K776" s="484"/>
      <c r="L776" s="335">
        <f t="shared" ref="L776:S776" si="505">L778</f>
        <v>48000</v>
      </c>
      <c r="M776" s="335">
        <f t="shared" si="505"/>
        <v>6370.6948039020499</v>
      </c>
      <c r="N776" s="336">
        <f t="shared" si="505"/>
        <v>30000</v>
      </c>
      <c r="O776" s="336">
        <f t="shared" si="505"/>
        <v>3981.6842524387812</v>
      </c>
      <c r="P776" s="337">
        <f t="shared" si="505"/>
        <v>10000</v>
      </c>
      <c r="Q776" s="337">
        <f t="shared" si="505"/>
        <v>10000</v>
      </c>
      <c r="R776" s="359">
        <f t="shared" si="505"/>
        <v>4000</v>
      </c>
      <c r="S776" s="360" t="e">
        <f t="shared" ca="1" si="505"/>
        <v>#NAME?</v>
      </c>
      <c r="T776" s="360"/>
      <c r="U776" s="360"/>
      <c r="V776" s="200">
        <f>V778</f>
        <v>10000</v>
      </c>
      <c r="W776" s="200">
        <f>W778</f>
        <v>10000</v>
      </c>
      <c r="X776" s="359">
        <f>X778</f>
        <v>15000</v>
      </c>
      <c r="Y776" s="371">
        <f>Y778</f>
        <v>20000</v>
      </c>
      <c r="Z776" s="371">
        <f>Z778</f>
        <v>0</v>
      </c>
      <c r="AA776" s="370" t="e">
        <f t="shared" ca="1" si="482"/>
        <v>#NAME?</v>
      </c>
      <c r="AB776" s="371"/>
      <c r="AC776" s="372">
        <f>AC778</f>
        <v>10000</v>
      </c>
      <c r="AD776" s="372">
        <f>AD778</f>
        <v>10000</v>
      </c>
      <c r="AE776" s="178">
        <f>O776/M776*100</f>
        <v>62.5</v>
      </c>
      <c r="AF776" s="178">
        <f>P776/O776*100</f>
        <v>251.15000000000003</v>
      </c>
      <c r="AG776" s="178">
        <f>Q776/P776*100</f>
        <v>100</v>
      </c>
      <c r="AH776" s="178">
        <f>AC776/Q776*100</f>
        <v>100</v>
      </c>
      <c r="AI776" s="371"/>
      <c r="AJ776" s="371">
        <v>20000</v>
      </c>
      <c r="AK776" s="171">
        <f>W776/R776*100</f>
        <v>250</v>
      </c>
      <c r="AL776" s="171">
        <f>X776/W776*100</f>
        <v>150</v>
      </c>
      <c r="AM776" s="171">
        <f>Y776/X776*100</f>
        <v>133.33333333333331</v>
      </c>
      <c r="AN776" s="360"/>
      <c r="AO776" s="193"/>
      <c r="AP776" s="193" t="e">
        <f t="shared" ca="1" si="479"/>
        <v>#NAME?</v>
      </c>
      <c r="AQ776" s="200">
        <f>AQ778</f>
        <v>1500</v>
      </c>
      <c r="AR776" s="204">
        <f t="shared" si="491"/>
        <v>250</v>
      </c>
      <c r="AS776" s="204">
        <f t="shared" si="484"/>
        <v>100</v>
      </c>
      <c r="AT776" s="204">
        <f t="shared" si="492"/>
        <v>250</v>
      </c>
      <c r="AU776" s="204">
        <f t="shared" si="485"/>
        <v>15</v>
      </c>
      <c r="AV776" s="204">
        <f t="shared" si="493"/>
        <v>37.5</v>
      </c>
    </row>
    <row r="777" spans="1:48" ht="12" customHeight="1">
      <c r="A777" s="69"/>
      <c r="B777" s="69"/>
      <c r="C777" s="69"/>
      <c r="D777" s="69"/>
      <c r="E777" s="69"/>
      <c r="F777" s="69"/>
      <c r="G777" s="69"/>
      <c r="H777" s="389"/>
      <c r="I777" s="341"/>
      <c r="J777" s="281"/>
      <c r="K777" s="70"/>
      <c r="L777" s="217"/>
      <c r="M777" s="217"/>
      <c r="N777" s="218"/>
      <c r="O777" s="218"/>
      <c r="P777" s="219"/>
      <c r="Q777" s="219"/>
      <c r="R777" s="282"/>
      <c r="S777" s="165" t="e">
        <f ca="1">__xlfn.XLOOKUP(H777,[1]Izvršenje_proračuna_po_pozicija!$B$2:$B$153,[1]Izvršenje_proračuna_po_pozicija!$E$2:$E$153,0)</f>
        <v>#NAME?</v>
      </c>
      <c r="T777" s="165"/>
      <c r="U777" s="165"/>
      <c r="V777" s="200"/>
      <c r="W777" s="200"/>
      <c r="X777" s="167"/>
      <c r="Y777" s="424"/>
      <c r="Z777" s="424"/>
      <c r="AA777" s="370" t="e">
        <f t="shared" ca="1" si="482"/>
        <v>#NAME?</v>
      </c>
      <c r="AB777" s="223"/>
      <c r="AC777" s="224"/>
      <c r="AD777" s="224"/>
      <c r="AE777" s="178"/>
      <c r="AF777" s="178"/>
      <c r="AG777" s="178"/>
      <c r="AH777" s="178"/>
      <c r="AI777" s="223"/>
      <c r="AJ777" s="424"/>
      <c r="AK777" s="171"/>
      <c r="AL777" s="171"/>
      <c r="AM777" s="171"/>
      <c r="AN777" s="222"/>
      <c r="AO777" s="193"/>
      <c r="AP777" s="193" t="e">
        <f t="shared" ca="1" si="479"/>
        <v>#NAME?</v>
      </c>
      <c r="AQ777" s="200"/>
      <c r="AR777" s="204"/>
      <c r="AS777" s="204"/>
      <c r="AT777" s="204"/>
      <c r="AU777" s="204"/>
      <c r="AV777" s="204"/>
    </row>
    <row r="778" spans="1:48" ht="12" customHeight="1">
      <c r="A778" s="476"/>
      <c r="B778" s="476"/>
      <c r="C778" s="476"/>
      <c r="D778" s="476"/>
      <c r="E778" s="476"/>
      <c r="F778" s="476"/>
      <c r="G778" s="476"/>
      <c r="H778" s="22"/>
      <c r="I778" s="350"/>
      <c r="J778" s="302">
        <v>38</v>
      </c>
      <c r="K778" s="343" t="s">
        <v>285</v>
      </c>
      <c r="L778" s="112">
        <f t="shared" ref="L778:S778" si="506">L780</f>
        <v>48000</v>
      </c>
      <c r="M778" s="112">
        <f t="shared" si="506"/>
        <v>6370.6948039020499</v>
      </c>
      <c r="N778" s="113">
        <f t="shared" si="506"/>
        <v>30000</v>
      </c>
      <c r="O778" s="113">
        <f t="shared" si="506"/>
        <v>3981.6842524387812</v>
      </c>
      <c r="P778" s="114">
        <f t="shared" si="506"/>
        <v>10000</v>
      </c>
      <c r="Q778" s="114">
        <f t="shared" si="506"/>
        <v>10000</v>
      </c>
      <c r="R778" s="88">
        <f t="shared" si="506"/>
        <v>4000</v>
      </c>
      <c r="S778" s="90" t="e">
        <f t="shared" ca="1" si="506"/>
        <v>#NAME?</v>
      </c>
      <c r="T778" s="90"/>
      <c r="U778" s="90"/>
      <c r="V778" s="200">
        <f>V780</f>
        <v>10000</v>
      </c>
      <c r="W778" s="200">
        <f>W780</f>
        <v>10000</v>
      </c>
      <c r="X778" s="88">
        <f>X780</f>
        <v>15000</v>
      </c>
      <c r="Y778" s="171">
        <f>Y780</f>
        <v>20000</v>
      </c>
      <c r="Z778" s="171">
        <f>Z780</f>
        <v>0</v>
      </c>
      <c r="AA778" s="370" t="e">
        <f t="shared" ca="1" si="482"/>
        <v>#NAME?</v>
      </c>
      <c r="AB778" s="171"/>
      <c r="AC778" s="172">
        <f>AC780</f>
        <v>10000</v>
      </c>
      <c r="AD778" s="172">
        <f>AD780</f>
        <v>10000</v>
      </c>
      <c r="AE778" s="178">
        <f>O778/M778*100</f>
        <v>62.5</v>
      </c>
      <c r="AF778" s="178">
        <f>P778/O778*100</f>
        <v>251.15000000000003</v>
      </c>
      <c r="AG778" s="178">
        <f>Q778/P778*100</f>
        <v>100</v>
      </c>
      <c r="AH778" s="178">
        <f>AC778/Q778*100</f>
        <v>100</v>
      </c>
      <c r="AI778" s="171"/>
      <c r="AJ778" s="171">
        <v>20000</v>
      </c>
      <c r="AK778" s="171">
        <f>W778/R778*100</f>
        <v>250</v>
      </c>
      <c r="AL778" s="171">
        <f>X778/W778*100</f>
        <v>150</v>
      </c>
      <c r="AM778" s="171">
        <f>Y778/X778*100</f>
        <v>133.33333333333331</v>
      </c>
      <c r="AN778" s="90"/>
      <c r="AO778" s="193"/>
      <c r="AP778" s="193" t="e">
        <f t="shared" ca="1" si="479"/>
        <v>#NAME?</v>
      </c>
      <c r="AQ778" s="200">
        <f>AQ780</f>
        <v>1500</v>
      </c>
      <c r="AR778" s="204">
        <f t="shared" si="491"/>
        <v>250</v>
      </c>
      <c r="AS778" s="204">
        <f t="shared" si="484"/>
        <v>100</v>
      </c>
      <c r="AT778" s="204">
        <f t="shared" si="492"/>
        <v>250</v>
      </c>
      <c r="AU778" s="204">
        <f t="shared" si="485"/>
        <v>15</v>
      </c>
      <c r="AV778" s="204">
        <f t="shared" si="493"/>
        <v>37.5</v>
      </c>
    </row>
    <row r="779" spans="1:48" ht="12" customHeight="1">
      <c r="A779" s="42"/>
      <c r="B779" s="42"/>
      <c r="C779" s="42"/>
      <c r="D779" s="42"/>
      <c r="E779" s="42"/>
      <c r="F779" s="42"/>
      <c r="G779" s="42"/>
      <c r="H779" s="308"/>
      <c r="I779" s="14"/>
      <c r="J779" s="2"/>
      <c r="K779" s="84"/>
      <c r="L779" s="85">
        <v>1</v>
      </c>
      <c r="M779" s="85">
        <v>2</v>
      </c>
      <c r="N779" s="86">
        <v>3</v>
      </c>
      <c r="O779" s="86">
        <v>4</v>
      </c>
      <c r="P779" s="87">
        <v>5</v>
      </c>
      <c r="Q779" s="87">
        <v>6</v>
      </c>
      <c r="R779" s="160"/>
      <c r="S779" s="165" t="e">
        <f ca="1">__xlfn.XLOOKUP(H779,[1]Izvršenje_proračuna_po_pozicija!$B$2:$B$153,[1]Izvršenje_proračuna_po_pozicija!$E$2:$E$153,0)</f>
        <v>#NAME?</v>
      </c>
      <c r="T779" s="165"/>
      <c r="U779" s="165"/>
      <c r="V779" s="200"/>
      <c r="W779" s="200"/>
      <c r="X779" s="361"/>
      <c r="Y779" s="373"/>
      <c r="Z779" s="373"/>
      <c r="AA779" s="370" t="e">
        <f t="shared" ca="1" si="482"/>
        <v>#NAME?</v>
      </c>
      <c r="AB779" s="181"/>
      <c r="AC779" s="182">
        <v>7</v>
      </c>
      <c r="AD779" s="182">
        <v>8</v>
      </c>
      <c r="AE779" s="182">
        <v>9</v>
      </c>
      <c r="AF779" s="182">
        <v>10</v>
      </c>
      <c r="AG779" s="182">
        <v>11</v>
      </c>
      <c r="AH779" s="182">
        <v>12</v>
      </c>
      <c r="AI779" s="181"/>
      <c r="AJ779" s="373"/>
      <c r="AK779" s="171"/>
      <c r="AL779" s="171"/>
      <c r="AM779" s="171"/>
      <c r="AN779" s="161"/>
      <c r="AO779" s="193"/>
      <c r="AP779" s="193" t="e">
        <f t="shared" ca="1" si="479"/>
        <v>#NAME?</v>
      </c>
      <c r="AQ779" s="200"/>
      <c r="AR779" s="204"/>
      <c r="AS779" s="204"/>
      <c r="AT779" s="204"/>
      <c r="AU779" s="204"/>
      <c r="AV779" s="204"/>
    </row>
    <row r="780" spans="1:48" ht="12" customHeight="1">
      <c r="A780" s="62"/>
      <c r="B780" s="491"/>
      <c r="C780" s="491"/>
      <c r="D780" s="491"/>
      <c r="E780" s="491"/>
      <c r="F780" s="491"/>
      <c r="G780" s="491"/>
      <c r="H780" s="492"/>
      <c r="I780" s="493"/>
      <c r="J780" s="303">
        <v>381</v>
      </c>
      <c r="K780" s="19" t="s">
        <v>407</v>
      </c>
      <c r="L780" s="112">
        <f t="shared" ref="L780:Z780" si="507">L781</f>
        <v>48000</v>
      </c>
      <c r="M780" s="112">
        <f t="shared" si="507"/>
        <v>6370.6948039020499</v>
      </c>
      <c r="N780" s="113">
        <f t="shared" si="507"/>
        <v>30000</v>
      </c>
      <c r="O780" s="113">
        <f t="shared" si="507"/>
        <v>3981.6842524387812</v>
      </c>
      <c r="P780" s="114">
        <f t="shared" si="507"/>
        <v>10000</v>
      </c>
      <c r="Q780" s="114">
        <f t="shared" si="507"/>
        <v>10000</v>
      </c>
      <c r="R780" s="88">
        <f t="shared" si="507"/>
        <v>4000</v>
      </c>
      <c r="S780" s="90" t="e">
        <f t="shared" ca="1" si="507"/>
        <v>#NAME?</v>
      </c>
      <c r="T780" s="90"/>
      <c r="U780" s="90"/>
      <c r="V780" s="200">
        <f>V781</f>
        <v>10000</v>
      </c>
      <c r="W780" s="200">
        <f t="shared" si="507"/>
        <v>10000</v>
      </c>
      <c r="X780" s="88">
        <f t="shared" si="507"/>
        <v>15000</v>
      </c>
      <c r="Y780" s="171">
        <f t="shared" si="507"/>
        <v>20000</v>
      </c>
      <c r="Z780" s="171">
        <f t="shared" si="507"/>
        <v>0</v>
      </c>
      <c r="AA780" s="370" t="e">
        <f t="shared" ca="1" si="482"/>
        <v>#NAME?</v>
      </c>
      <c r="AB780" s="171"/>
      <c r="AC780" s="172">
        <f>AC781</f>
        <v>10000</v>
      </c>
      <c r="AD780" s="172">
        <f>AD781</f>
        <v>10000</v>
      </c>
      <c r="AE780" s="178">
        <f>O780/M780*100</f>
        <v>62.5</v>
      </c>
      <c r="AF780" s="178">
        <f>P780/O780*100</f>
        <v>251.15000000000003</v>
      </c>
      <c r="AG780" s="178">
        <f>Q780/P780*100</f>
        <v>100</v>
      </c>
      <c r="AH780" s="178">
        <f>AC780/Q780*100</f>
        <v>100</v>
      </c>
      <c r="AI780" s="171"/>
      <c r="AJ780" s="171">
        <v>20000</v>
      </c>
      <c r="AK780" s="171">
        <f>W780/R780*100</f>
        <v>250</v>
      </c>
      <c r="AL780" s="171">
        <f>X780/W780*100</f>
        <v>150</v>
      </c>
      <c r="AM780" s="171">
        <f>Y780/X780*100</f>
        <v>133.33333333333331</v>
      </c>
      <c r="AN780" s="90"/>
      <c r="AO780" s="193"/>
      <c r="AP780" s="193" t="e">
        <f t="shared" ca="1" si="479"/>
        <v>#NAME?</v>
      </c>
      <c r="AQ780" s="200">
        <f>AQ781</f>
        <v>1500</v>
      </c>
      <c r="AR780" s="204">
        <f t="shared" si="491"/>
        <v>250</v>
      </c>
      <c r="AS780" s="204">
        <f t="shared" si="484"/>
        <v>100</v>
      </c>
      <c r="AT780" s="204">
        <f t="shared" si="492"/>
        <v>250</v>
      </c>
      <c r="AU780" s="204">
        <f t="shared" si="485"/>
        <v>15</v>
      </c>
      <c r="AV780" s="204">
        <f t="shared" si="493"/>
        <v>37.5</v>
      </c>
    </row>
    <row r="781" spans="1:48" ht="12" customHeight="1">
      <c r="A781" s="209"/>
      <c r="B781" s="209"/>
      <c r="C781" s="209"/>
      <c r="D781" s="209"/>
      <c r="E781" s="209"/>
      <c r="F781" s="209"/>
      <c r="G781" s="209"/>
      <c r="H781" s="21"/>
      <c r="I781" s="397"/>
      <c r="J781" s="229">
        <v>3811</v>
      </c>
      <c r="K781" s="18" t="s">
        <v>286</v>
      </c>
      <c r="L781" s="112">
        <v>48000</v>
      </c>
      <c r="M781" s="112">
        <f>48000/7.5345</f>
        <v>6370.6948039020499</v>
      </c>
      <c r="N781" s="113">
        <v>30000</v>
      </c>
      <c r="O781" s="113">
        <f>N781/7.5345</f>
        <v>3981.6842524387812</v>
      </c>
      <c r="P781" s="114">
        <v>10000</v>
      </c>
      <c r="Q781" s="114">
        <v>10000</v>
      </c>
      <c r="R781" s="88">
        <f t="shared" ref="R781:Z781" si="508">R782+R783+R784+R785+R786</f>
        <v>4000</v>
      </c>
      <c r="S781" s="90" t="e">
        <f t="shared" ca="1" si="508"/>
        <v>#NAME?</v>
      </c>
      <c r="T781" s="90"/>
      <c r="U781" s="90"/>
      <c r="V781" s="200">
        <f t="shared" si="508"/>
        <v>10000</v>
      </c>
      <c r="W781" s="200">
        <f t="shared" si="508"/>
        <v>10000</v>
      </c>
      <c r="X781" s="88">
        <f t="shared" si="508"/>
        <v>15000</v>
      </c>
      <c r="Y781" s="171">
        <f t="shared" si="508"/>
        <v>20000</v>
      </c>
      <c r="Z781" s="171">
        <f t="shared" si="508"/>
        <v>0</v>
      </c>
      <c r="AA781" s="370" t="e">
        <f t="shared" ca="1" si="482"/>
        <v>#NAME?</v>
      </c>
      <c r="AB781" s="171"/>
      <c r="AC781" s="172">
        <v>10000</v>
      </c>
      <c r="AD781" s="172">
        <v>10000</v>
      </c>
      <c r="AE781" s="178">
        <f>O781/M781*100</f>
        <v>62.5</v>
      </c>
      <c r="AF781" s="178">
        <f>P781/O781*100</f>
        <v>251.15000000000003</v>
      </c>
      <c r="AG781" s="178">
        <f>Q781/P781*100</f>
        <v>100</v>
      </c>
      <c r="AH781" s="178">
        <f>AC781/Q781*100</f>
        <v>100</v>
      </c>
      <c r="AI781" s="171"/>
      <c r="AJ781" s="171">
        <v>20000</v>
      </c>
      <c r="AK781" s="171">
        <f>W781/R781*100</f>
        <v>250</v>
      </c>
      <c r="AL781" s="171">
        <f>X781/W781*100</f>
        <v>150</v>
      </c>
      <c r="AM781" s="171">
        <f>Y781/X781*100</f>
        <v>133.33333333333331</v>
      </c>
      <c r="AN781" s="90"/>
      <c r="AO781" s="193"/>
      <c r="AP781" s="193" t="e">
        <f t="shared" ca="1" si="479"/>
        <v>#NAME?</v>
      </c>
      <c r="AQ781" s="200">
        <f>AQ782+AQ783+AQ784+AQ785+AQ786</f>
        <v>1500</v>
      </c>
      <c r="AR781" s="204">
        <f t="shared" si="491"/>
        <v>250</v>
      </c>
      <c r="AS781" s="204">
        <f t="shared" si="484"/>
        <v>100</v>
      </c>
      <c r="AT781" s="204">
        <f t="shared" si="492"/>
        <v>250</v>
      </c>
      <c r="AU781" s="204">
        <f t="shared" si="485"/>
        <v>15</v>
      </c>
      <c r="AV781" s="204">
        <f t="shared" si="493"/>
        <v>37.5</v>
      </c>
    </row>
    <row r="782" spans="1:48" ht="12" customHeight="1">
      <c r="A782" s="53"/>
      <c r="B782" s="53"/>
      <c r="C782" s="53"/>
      <c r="D782" s="53"/>
      <c r="E782" s="53"/>
      <c r="F782" s="53"/>
      <c r="G782" s="53"/>
      <c r="H782" s="1">
        <v>135</v>
      </c>
      <c r="I782" s="397">
        <v>760</v>
      </c>
      <c r="J782" s="229">
        <v>3811</v>
      </c>
      <c r="K782" s="18" t="s">
        <v>637</v>
      </c>
      <c r="L782" s="130">
        <v>0</v>
      </c>
      <c r="M782" s="130">
        <v>0</v>
      </c>
      <c r="N782" s="131">
        <v>0</v>
      </c>
      <c r="O782" s="131">
        <v>0</v>
      </c>
      <c r="P782" s="132">
        <v>0</v>
      </c>
      <c r="Q782" s="132">
        <v>0</v>
      </c>
      <c r="R782" s="159">
        <v>0</v>
      </c>
      <c r="S782" s="165" t="e">
        <f ca="1">__xlfn.XLOOKUP(H782,[1]Izvršenje_proračuna_po_pozicija!$B$2:$B$153,[1]Izvršenje_proračuna_po_pozicija!$E$2:$E$153,0)</f>
        <v>#NAME?</v>
      </c>
      <c r="T782" s="165"/>
      <c r="U782" s="165"/>
      <c r="V782" s="200"/>
      <c r="W782" s="200"/>
      <c r="X782" s="164"/>
      <c r="Y782" s="378"/>
      <c r="Z782" s="378"/>
      <c r="AA782" s="370" t="e">
        <f t="shared" ca="1" si="482"/>
        <v>#NAME?</v>
      </c>
      <c r="AB782" s="183"/>
      <c r="AC782" s="178">
        <v>0</v>
      </c>
      <c r="AD782" s="178">
        <v>0</v>
      </c>
      <c r="AE782" s="178"/>
      <c r="AF782" s="178"/>
      <c r="AG782" s="178"/>
      <c r="AH782" s="178"/>
      <c r="AI782" s="183"/>
      <c r="AJ782" s="378"/>
      <c r="AK782" s="171"/>
      <c r="AL782" s="171"/>
      <c r="AM782" s="171"/>
      <c r="AN782" s="165"/>
      <c r="AO782" s="193"/>
      <c r="AP782" s="193" t="e">
        <f t="shared" ca="1" si="479"/>
        <v>#NAME?</v>
      </c>
      <c r="AQ782" s="200"/>
      <c r="AR782" s="204"/>
      <c r="AS782" s="204"/>
      <c r="AT782" s="204"/>
      <c r="AU782" s="204"/>
      <c r="AV782" s="204"/>
    </row>
    <row r="783" spans="1:48" ht="12" customHeight="1">
      <c r="A783" s="53"/>
      <c r="B783" s="53"/>
      <c r="C783" s="53"/>
      <c r="D783" s="53"/>
      <c r="E783" s="53"/>
      <c r="F783" s="53"/>
      <c r="G783" s="53"/>
      <c r="H783" s="1" t="s">
        <v>638</v>
      </c>
      <c r="I783" s="397">
        <v>760</v>
      </c>
      <c r="J783" s="229">
        <v>3811</v>
      </c>
      <c r="K783" s="18" t="s">
        <v>639</v>
      </c>
      <c r="L783" s="130">
        <v>0</v>
      </c>
      <c r="M783" s="130">
        <v>0</v>
      </c>
      <c r="N783" s="131">
        <v>0</v>
      </c>
      <c r="O783" s="131">
        <f>30000/7.5345</f>
        <v>3981.6842524387812</v>
      </c>
      <c r="P783" s="132">
        <v>4000</v>
      </c>
      <c r="Q783" s="132">
        <v>4000</v>
      </c>
      <c r="R783" s="159"/>
      <c r="S783" s="165" t="e">
        <f ca="1">__xlfn.XLOOKUP(H783,[1]Izvršenje_proračuna_po_pozicija!$B$2:$B$153,[1]Izvršenje_proračuna_po_pozicija!$E$2:$E$153,0)</f>
        <v>#NAME?</v>
      </c>
      <c r="T783" s="165"/>
      <c r="U783" s="165"/>
      <c r="V783" s="200">
        <v>2000</v>
      </c>
      <c r="W783" s="200">
        <v>2000</v>
      </c>
      <c r="X783" s="164">
        <v>3000</v>
      </c>
      <c r="Y783" s="378">
        <v>5000</v>
      </c>
      <c r="Z783" s="378"/>
      <c r="AA783" s="370" t="e">
        <f t="shared" ca="1" si="482"/>
        <v>#NAME?</v>
      </c>
      <c r="AB783" s="183"/>
      <c r="AC783" s="178"/>
      <c r="AD783" s="178"/>
      <c r="AE783" s="178"/>
      <c r="AF783" s="178"/>
      <c r="AG783" s="178"/>
      <c r="AH783" s="178"/>
      <c r="AI783" s="183"/>
      <c r="AJ783" s="378">
        <v>5000</v>
      </c>
      <c r="AK783" s="171"/>
      <c r="AL783" s="171">
        <f>X783/W783*100</f>
        <v>150</v>
      </c>
      <c r="AM783" s="171">
        <f>Y783/X783*100</f>
        <v>166.66666666666669</v>
      </c>
      <c r="AN783" s="165"/>
      <c r="AO783" s="193"/>
      <c r="AP783" s="193" t="e">
        <f t="shared" ca="1" si="479"/>
        <v>#NAME?</v>
      </c>
      <c r="AQ783" s="200">
        <v>1500</v>
      </c>
      <c r="AR783" s="204"/>
      <c r="AS783" s="204">
        <f t="shared" si="484"/>
        <v>100</v>
      </c>
      <c r="AT783" s="204"/>
      <c r="AU783" s="204">
        <f t="shared" si="485"/>
        <v>75</v>
      </c>
      <c r="AV783" s="204"/>
    </row>
    <row r="784" spans="1:48" ht="12" customHeight="1">
      <c r="A784" s="53"/>
      <c r="B784" s="53"/>
      <c r="C784" s="53"/>
      <c r="D784" s="53"/>
      <c r="E784" s="53"/>
      <c r="F784" s="53"/>
      <c r="G784" s="53"/>
      <c r="H784" s="1">
        <v>139</v>
      </c>
      <c r="I784" s="397">
        <v>760</v>
      </c>
      <c r="J784" s="229">
        <v>3811</v>
      </c>
      <c r="K784" s="18" t="s">
        <v>640</v>
      </c>
      <c r="L784" s="130">
        <v>35000</v>
      </c>
      <c r="M784" s="130">
        <f>35000/7.5345</f>
        <v>4645.298294511912</v>
      </c>
      <c r="N784" s="131"/>
      <c r="O784" s="131"/>
      <c r="P784" s="132"/>
      <c r="Q784" s="132"/>
      <c r="R784" s="159">
        <v>4000</v>
      </c>
      <c r="S784" s="165" t="e">
        <f ca="1">__xlfn.XLOOKUP(H784,[1]Izvršenje_proračuna_po_pozicija!$B$2:$B$153,[1]Izvršenje_proračuna_po_pozicija!$E$2:$E$153,0)</f>
        <v>#NAME?</v>
      </c>
      <c r="T784" s="165"/>
      <c r="U784" s="165"/>
      <c r="V784" s="200"/>
      <c r="W784" s="200"/>
      <c r="X784" s="164"/>
      <c r="Y784" s="378"/>
      <c r="Z784" s="378"/>
      <c r="AA784" s="370" t="e">
        <f t="shared" ca="1" si="482"/>
        <v>#NAME?</v>
      </c>
      <c r="AB784" s="183"/>
      <c r="AC784" s="178"/>
      <c r="AD784" s="178"/>
      <c r="AE784" s="178">
        <f>O784/M784*100</f>
        <v>0</v>
      </c>
      <c r="AF784" s="178"/>
      <c r="AG784" s="178"/>
      <c r="AH784" s="178"/>
      <c r="AI784" s="183"/>
      <c r="AJ784" s="378"/>
      <c r="AK784" s="171">
        <f>W784/R784*100</f>
        <v>0</v>
      </c>
      <c r="AL784" s="171"/>
      <c r="AM784" s="171"/>
      <c r="AN784" s="165"/>
      <c r="AO784" s="193"/>
      <c r="AP784" s="193" t="e">
        <f t="shared" ca="1" si="479"/>
        <v>#NAME?</v>
      </c>
      <c r="AQ784" s="200"/>
      <c r="AR784" s="204">
        <f t="shared" si="491"/>
        <v>0</v>
      </c>
      <c r="AS784" s="204"/>
      <c r="AT784" s="204">
        <f t="shared" si="492"/>
        <v>0</v>
      </c>
      <c r="AU784" s="204"/>
      <c r="AV784" s="204">
        <f t="shared" si="493"/>
        <v>0</v>
      </c>
    </row>
    <row r="785" spans="1:48" ht="12" customHeight="1">
      <c r="A785" s="53"/>
      <c r="B785" s="53"/>
      <c r="C785" s="53"/>
      <c r="D785" s="53"/>
      <c r="E785" s="53"/>
      <c r="F785" s="53"/>
      <c r="G785" s="53"/>
      <c r="H785" s="1" t="s">
        <v>641</v>
      </c>
      <c r="I785" s="397">
        <v>760</v>
      </c>
      <c r="J785" s="229">
        <v>3811</v>
      </c>
      <c r="K785" s="18" t="s">
        <v>642</v>
      </c>
      <c r="L785" s="130">
        <v>13000</v>
      </c>
      <c r="M785" s="130">
        <f>13000/7.5345</f>
        <v>1725.3965093901386</v>
      </c>
      <c r="N785" s="131"/>
      <c r="O785" s="131"/>
      <c r="P785" s="132"/>
      <c r="Q785" s="132"/>
      <c r="R785" s="159"/>
      <c r="S785" s="165" t="e">
        <f ca="1">__xlfn.XLOOKUP(H785,[1]Izvršenje_proračuna_po_pozicija!$B$2:$B$153,[1]Izvršenje_proračuna_po_pozicija!$E$2:$E$153,0)</f>
        <v>#NAME?</v>
      </c>
      <c r="T785" s="165"/>
      <c r="U785" s="165"/>
      <c r="V785" s="200">
        <v>8000</v>
      </c>
      <c r="W785" s="200">
        <v>8000</v>
      </c>
      <c r="X785" s="164">
        <v>12000</v>
      </c>
      <c r="Y785" s="378">
        <v>15000</v>
      </c>
      <c r="Z785" s="378"/>
      <c r="AA785" s="370" t="e">
        <f t="shared" ca="1" si="482"/>
        <v>#NAME?</v>
      </c>
      <c r="AB785" s="183"/>
      <c r="AC785" s="178"/>
      <c r="AD785" s="178"/>
      <c r="AE785" s="178">
        <f>O785/M785*100</f>
        <v>0</v>
      </c>
      <c r="AF785" s="178"/>
      <c r="AG785" s="178"/>
      <c r="AH785" s="178"/>
      <c r="AI785" s="183"/>
      <c r="AJ785" s="378">
        <v>15000</v>
      </c>
      <c r="AK785" s="171"/>
      <c r="AL785" s="171">
        <f>X785/W785*100</f>
        <v>150</v>
      </c>
      <c r="AM785" s="171">
        <f>Y785/X785*100</f>
        <v>125</v>
      </c>
      <c r="AN785" s="165"/>
      <c r="AO785" s="193"/>
      <c r="AP785" s="193" t="e">
        <f t="shared" ca="1" si="479"/>
        <v>#NAME?</v>
      </c>
      <c r="AQ785" s="200"/>
      <c r="AR785" s="204"/>
      <c r="AS785" s="204">
        <f t="shared" si="484"/>
        <v>100</v>
      </c>
      <c r="AT785" s="204"/>
      <c r="AU785" s="204">
        <f t="shared" si="485"/>
        <v>0</v>
      </c>
      <c r="AV785" s="204"/>
    </row>
    <row r="786" spans="1:48" ht="12" customHeight="1">
      <c r="A786" s="209"/>
      <c r="B786" s="209"/>
      <c r="C786" s="209"/>
      <c r="D786" s="209"/>
      <c r="E786" s="209"/>
      <c r="F786" s="209"/>
      <c r="G786" s="209"/>
      <c r="H786" s="21" t="s">
        <v>643</v>
      </c>
      <c r="I786" s="397">
        <v>760</v>
      </c>
      <c r="J786" s="229">
        <v>3811</v>
      </c>
      <c r="K786" s="18" t="s">
        <v>644</v>
      </c>
      <c r="L786" s="119"/>
      <c r="M786" s="119"/>
      <c r="N786" s="120"/>
      <c r="O786" s="120"/>
      <c r="P786" s="121"/>
      <c r="Q786" s="121"/>
      <c r="R786" s="157"/>
      <c r="S786" s="165" t="e">
        <f ca="1">__xlfn.XLOOKUP(H786,[1]Izvršenje_proračuna_po_pozicija!$B$2:$B$153,[1]Izvršenje_proračuna_po_pozicija!$E$2:$E$153,0)</f>
        <v>#NAME?</v>
      </c>
      <c r="T786" s="165"/>
      <c r="U786" s="165"/>
      <c r="V786" s="200"/>
      <c r="W786" s="200"/>
      <c r="X786" s="164"/>
      <c r="Y786" s="369"/>
      <c r="Z786" s="369"/>
      <c r="AA786" s="370" t="e">
        <f t="shared" ca="1" si="482"/>
        <v>#NAME?</v>
      </c>
      <c r="AB786" s="179"/>
      <c r="AC786" s="180"/>
      <c r="AD786" s="180"/>
      <c r="AE786" s="178"/>
      <c r="AF786" s="178"/>
      <c r="AG786" s="178"/>
      <c r="AH786" s="178"/>
      <c r="AI786" s="179"/>
      <c r="AJ786" s="369"/>
      <c r="AK786" s="171"/>
      <c r="AL786" s="171"/>
      <c r="AM786" s="171"/>
      <c r="AN786" s="158"/>
      <c r="AO786" s="193"/>
      <c r="AP786" s="193" t="e">
        <f t="shared" ca="1" si="479"/>
        <v>#NAME?</v>
      </c>
      <c r="AQ786" s="200"/>
      <c r="AR786" s="204"/>
      <c r="AS786" s="204"/>
      <c r="AT786" s="204"/>
      <c r="AU786" s="204"/>
      <c r="AV786" s="204"/>
    </row>
    <row r="787" spans="1:48" ht="12" customHeight="1">
      <c r="A787" s="42"/>
      <c r="B787" s="42"/>
      <c r="C787" s="42"/>
      <c r="D787" s="42"/>
      <c r="E787" s="42"/>
      <c r="F787" s="42"/>
      <c r="G787" s="42"/>
      <c r="H787" s="308"/>
      <c r="I787" s="14"/>
      <c r="J787" s="2"/>
      <c r="K787" s="281"/>
      <c r="L787" s="85"/>
      <c r="M787" s="85"/>
      <c r="N787" s="86"/>
      <c r="O787" s="86"/>
      <c r="P787" s="87"/>
      <c r="Q787" s="87"/>
      <c r="R787" s="160"/>
      <c r="S787" s="165" t="e">
        <f ca="1">__xlfn.XLOOKUP(H787,[1]Izvršenje_proračuna_po_pozicija!$B$2:$B$153,[1]Izvršenje_proračuna_po_pozicija!$E$2:$E$153,0)</f>
        <v>#NAME?</v>
      </c>
      <c r="T787" s="165"/>
      <c r="U787" s="165"/>
      <c r="V787" s="200"/>
      <c r="W787" s="200"/>
      <c r="X787" s="361"/>
      <c r="Y787" s="373"/>
      <c r="Z787" s="373"/>
      <c r="AA787" s="370" t="e">
        <f t="shared" ca="1" si="482"/>
        <v>#NAME?</v>
      </c>
      <c r="AB787" s="181"/>
      <c r="AC787" s="182"/>
      <c r="AD787" s="182"/>
      <c r="AE787" s="178"/>
      <c r="AF787" s="178"/>
      <c r="AG787" s="178"/>
      <c r="AH787" s="178"/>
      <c r="AI787" s="181"/>
      <c r="AJ787" s="373"/>
      <c r="AK787" s="171"/>
      <c r="AL787" s="171"/>
      <c r="AM787" s="171"/>
      <c r="AN787" s="161"/>
      <c r="AO787" s="193"/>
      <c r="AP787" s="193" t="e">
        <f t="shared" ca="1" si="479"/>
        <v>#NAME?</v>
      </c>
      <c r="AQ787" s="200"/>
      <c r="AR787" s="204"/>
      <c r="AS787" s="204"/>
      <c r="AT787" s="204"/>
      <c r="AU787" s="204"/>
      <c r="AV787" s="204"/>
    </row>
    <row r="788" spans="1:48" ht="12" customHeight="1">
      <c r="A788" s="437"/>
      <c r="B788" s="437"/>
      <c r="C788" s="437"/>
      <c r="D788" s="437"/>
      <c r="E788" s="437"/>
      <c r="F788" s="437"/>
      <c r="G788" s="437"/>
      <c r="H788" s="446"/>
      <c r="I788" s="494" t="s">
        <v>645</v>
      </c>
      <c r="J788" s="495"/>
      <c r="K788" s="496"/>
      <c r="L788" s="335">
        <f t="shared" ref="L788:S788" si="509">L789+L796+L812</f>
        <v>901464</v>
      </c>
      <c r="M788" s="335">
        <f t="shared" si="509"/>
        <v>119644.83376468245</v>
      </c>
      <c r="N788" s="336">
        <f t="shared" si="509"/>
        <v>623282</v>
      </c>
      <c r="O788" s="336">
        <f t="shared" si="509"/>
        <v>82723.73747428495</v>
      </c>
      <c r="P788" s="337">
        <f t="shared" si="509"/>
        <v>138000</v>
      </c>
      <c r="Q788" s="337">
        <f t="shared" si="509"/>
        <v>166300</v>
      </c>
      <c r="R788" s="359">
        <f t="shared" si="509"/>
        <v>91076</v>
      </c>
      <c r="S788" s="360" t="e">
        <f t="shared" ca="1" si="509"/>
        <v>#NAME?</v>
      </c>
      <c r="T788" s="360"/>
      <c r="U788" s="360"/>
      <c r="V788" s="200">
        <f>V789+V796+V812</f>
        <v>253000</v>
      </c>
      <c r="W788" s="200">
        <f>W789+W796+W812</f>
        <v>253000</v>
      </c>
      <c r="X788" s="359">
        <f>X789+X796+X812</f>
        <v>102000</v>
      </c>
      <c r="Y788" s="371">
        <f>Y789+Y796+Y812</f>
        <v>95000</v>
      </c>
      <c r="Z788" s="371">
        <f>Z789+Z796+Z812</f>
        <v>0</v>
      </c>
      <c r="AA788" s="370" t="e">
        <f t="shared" ca="1" si="482"/>
        <v>#NAME?</v>
      </c>
      <c r="AB788" s="371"/>
      <c r="AC788" s="372">
        <f>AC789+AC796+AC812</f>
        <v>147000</v>
      </c>
      <c r="AD788" s="372">
        <f>AD789+AD796+AD812</f>
        <v>147000</v>
      </c>
      <c r="AE788" s="178">
        <f>O788/M788*100</f>
        <v>69.141086055571819</v>
      </c>
      <c r="AF788" s="178">
        <f>P788/O788*100</f>
        <v>166.82031568375152</v>
      </c>
      <c r="AG788" s="178">
        <f>Q788/P788*100</f>
        <v>120.50724637681158</v>
      </c>
      <c r="AH788" s="178">
        <f>AC788/Q788*100</f>
        <v>88.394467829224283</v>
      </c>
      <c r="AI788" s="371"/>
      <c r="AJ788" s="371">
        <v>95000</v>
      </c>
      <c r="AK788" s="171">
        <f>W788/R788*100</f>
        <v>277.78997760112435</v>
      </c>
      <c r="AL788" s="171">
        <f>X788/W788*100</f>
        <v>40.316205533596836</v>
      </c>
      <c r="AM788" s="171">
        <f>Y788/X788*100</f>
        <v>93.137254901960787</v>
      </c>
      <c r="AN788" s="360"/>
      <c r="AO788" s="193"/>
      <c r="AP788" s="193" t="e">
        <f t="shared" ca="1" si="479"/>
        <v>#NAME?</v>
      </c>
      <c r="AQ788" s="200">
        <f>AQ789+AQ796+AQ812</f>
        <v>196259.34</v>
      </c>
      <c r="AR788" s="204">
        <f t="shared" si="491"/>
        <v>277.78997760112435</v>
      </c>
      <c r="AS788" s="204">
        <f t="shared" si="484"/>
        <v>100</v>
      </c>
      <c r="AT788" s="204">
        <f t="shared" si="492"/>
        <v>277.78997760112435</v>
      </c>
      <c r="AU788" s="204">
        <f t="shared" si="485"/>
        <v>77.572861660079056</v>
      </c>
      <c r="AV788" s="204">
        <f t="shared" si="493"/>
        <v>215.48963503008477</v>
      </c>
    </row>
    <row r="789" spans="1:48" ht="12" customHeight="1">
      <c r="A789" s="390" t="s">
        <v>331</v>
      </c>
      <c r="B789" s="391"/>
      <c r="C789" s="391"/>
      <c r="D789" s="391"/>
      <c r="E789" s="391"/>
      <c r="F789" s="391"/>
      <c r="G789" s="391"/>
      <c r="H789" s="392"/>
      <c r="I789" s="485" t="s">
        <v>646</v>
      </c>
      <c r="J789" s="486"/>
      <c r="K789" s="124"/>
      <c r="L789" s="112">
        <f t="shared" ref="L789:S789" si="510">L791</f>
        <v>420464</v>
      </c>
      <c r="M789" s="112">
        <f t="shared" si="510"/>
        <v>55805.162917247326</v>
      </c>
      <c r="N789" s="113">
        <f t="shared" si="510"/>
        <v>288282</v>
      </c>
      <c r="O789" s="113">
        <f t="shared" si="510"/>
        <v>38261.596655385227</v>
      </c>
      <c r="P789" s="114">
        <f t="shared" si="510"/>
        <v>26000</v>
      </c>
      <c r="Q789" s="114">
        <f t="shared" si="510"/>
        <v>39000</v>
      </c>
      <c r="R789" s="88">
        <f t="shared" si="510"/>
        <v>38876</v>
      </c>
      <c r="S789" s="90" t="e">
        <f t="shared" ca="1" si="510"/>
        <v>#NAME?</v>
      </c>
      <c r="T789" s="90"/>
      <c r="U789" s="90"/>
      <c r="V789" s="200">
        <f>V791</f>
        <v>40000</v>
      </c>
      <c r="W789" s="200">
        <f>W791</f>
        <v>40000</v>
      </c>
      <c r="X789" s="88">
        <f>X791</f>
        <v>0</v>
      </c>
      <c r="Y789" s="171">
        <f>Y791</f>
        <v>0</v>
      </c>
      <c r="Z789" s="171">
        <f>Z791</f>
        <v>0</v>
      </c>
      <c r="AA789" s="370" t="e">
        <f t="shared" ca="1" si="482"/>
        <v>#NAME?</v>
      </c>
      <c r="AB789" s="171"/>
      <c r="AC789" s="172">
        <f>AC791</f>
        <v>35000</v>
      </c>
      <c r="AD789" s="172">
        <f>AD791</f>
        <v>35000</v>
      </c>
      <c r="AE789" s="178">
        <f>O789/M789*100</f>
        <v>68.562825830511059</v>
      </c>
      <c r="AF789" s="178">
        <f>P789/O789*100</f>
        <v>67.953254105355171</v>
      </c>
      <c r="AG789" s="178">
        <f>Q789/P789*100</f>
        <v>150</v>
      </c>
      <c r="AH789" s="178">
        <f>AC789/Q789*100</f>
        <v>89.743589743589752</v>
      </c>
      <c r="AI789" s="171"/>
      <c r="AJ789" s="171">
        <v>0</v>
      </c>
      <c r="AK789" s="171">
        <f t="shared" ref="AK789:AK850" si="511">W789/R789*100</f>
        <v>102.89124395513942</v>
      </c>
      <c r="AL789" s="171">
        <f t="shared" ref="AL789:AM850" si="512">X789/W789*100</f>
        <v>0</v>
      </c>
      <c r="AM789" s="171"/>
      <c r="AN789" s="90"/>
      <c r="AO789" s="193"/>
      <c r="AP789" s="193" t="e">
        <f t="shared" ca="1" si="479"/>
        <v>#NAME?</v>
      </c>
      <c r="AQ789" s="200">
        <f>AQ791</f>
        <v>39059.339999999997</v>
      </c>
      <c r="AR789" s="204">
        <f t="shared" si="491"/>
        <v>102.89124395513942</v>
      </c>
      <c r="AS789" s="204">
        <f t="shared" si="484"/>
        <v>100</v>
      </c>
      <c r="AT789" s="204">
        <f t="shared" si="492"/>
        <v>102.89124395513942</v>
      </c>
      <c r="AU789" s="204">
        <f t="shared" si="485"/>
        <v>97.648349999999994</v>
      </c>
      <c r="AV789" s="204">
        <f t="shared" si="493"/>
        <v>100.47160201666838</v>
      </c>
    </row>
    <row r="790" spans="1:48" ht="12" customHeight="1">
      <c r="A790" s="42"/>
      <c r="B790" s="42"/>
      <c r="C790" s="42"/>
      <c r="D790" s="42"/>
      <c r="E790" s="42"/>
      <c r="F790" s="42"/>
      <c r="G790" s="42"/>
      <c r="H790" s="308"/>
      <c r="I790" s="14"/>
      <c r="J790" s="2"/>
      <c r="K790" s="84"/>
      <c r="L790" s="85"/>
      <c r="M790" s="85"/>
      <c r="N790" s="86"/>
      <c r="O790" s="86"/>
      <c r="P790" s="87"/>
      <c r="Q790" s="87"/>
      <c r="R790" s="160"/>
      <c r="S790" s="165" t="e">
        <f ca="1">__xlfn.XLOOKUP(H790,[1]Izvršenje_proračuna_po_pozicija!$B$2:$B$153,[1]Izvršenje_proračuna_po_pozicija!$E$2:$E$153,0)</f>
        <v>#NAME?</v>
      </c>
      <c r="T790" s="165"/>
      <c r="U790" s="165"/>
      <c r="V790" s="200"/>
      <c r="W790" s="200"/>
      <c r="X790" s="361"/>
      <c r="Y790" s="373"/>
      <c r="Z790" s="373"/>
      <c r="AA790" s="370" t="e">
        <f t="shared" ca="1" si="482"/>
        <v>#NAME?</v>
      </c>
      <c r="AB790" s="181"/>
      <c r="AC790" s="182"/>
      <c r="AD790" s="182"/>
      <c r="AE790" s="178"/>
      <c r="AF790" s="178"/>
      <c r="AG790" s="178"/>
      <c r="AH790" s="178"/>
      <c r="AI790" s="181"/>
      <c r="AJ790" s="373"/>
      <c r="AK790" s="171"/>
      <c r="AL790" s="171"/>
      <c r="AM790" s="171"/>
      <c r="AN790" s="161"/>
      <c r="AO790" s="193"/>
      <c r="AP790" s="193" t="e">
        <f t="shared" ca="1" si="479"/>
        <v>#NAME?</v>
      </c>
      <c r="AQ790" s="200"/>
      <c r="AR790" s="204"/>
      <c r="AS790" s="204"/>
      <c r="AT790" s="204"/>
      <c r="AU790" s="204"/>
      <c r="AV790" s="204"/>
    </row>
    <row r="791" spans="1:48" ht="12" customHeight="1">
      <c r="A791" s="24"/>
      <c r="B791" s="24"/>
      <c r="C791" s="24"/>
      <c r="D791" s="24"/>
      <c r="E791" s="24"/>
      <c r="F791" s="24"/>
      <c r="G791" s="24"/>
      <c r="H791" s="393"/>
      <c r="I791" s="465"/>
      <c r="J791" s="281">
        <v>3</v>
      </c>
      <c r="K791" s="2" t="s">
        <v>224</v>
      </c>
      <c r="L791" s="112">
        <f t="shared" ref="L791:AD793" si="513">L792</f>
        <v>420464</v>
      </c>
      <c r="M791" s="112">
        <f t="shared" si="513"/>
        <v>55805.162917247326</v>
      </c>
      <c r="N791" s="113">
        <f t="shared" si="513"/>
        <v>288282</v>
      </c>
      <c r="O791" s="113">
        <f t="shared" si="513"/>
        <v>38261.596655385227</v>
      </c>
      <c r="P791" s="114">
        <f t="shared" si="513"/>
        <v>26000</v>
      </c>
      <c r="Q791" s="114">
        <f t="shared" si="513"/>
        <v>39000</v>
      </c>
      <c r="R791" s="88">
        <f t="shared" si="513"/>
        <v>38876</v>
      </c>
      <c r="S791" s="90" t="e">
        <f t="shared" ca="1" si="513"/>
        <v>#NAME?</v>
      </c>
      <c r="T791" s="90"/>
      <c r="U791" s="90"/>
      <c r="V791" s="200">
        <f>V792</f>
        <v>40000</v>
      </c>
      <c r="W791" s="200">
        <f t="shared" si="513"/>
        <v>40000</v>
      </c>
      <c r="X791" s="88">
        <f t="shared" si="513"/>
        <v>0</v>
      </c>
      <c r="Y791" s="171">
        <f t="shared" si="513"/>
        <v>0</v>
      </c>
      <c r="Z791" s="171">
        <f t="shared" si="513"/>
        <v>0</v>
      </c>
      <c r="AA791" s="370" t="e">
        <f t="shared" ca="1" si="482"/>
        <v>#NAME?</v>
      </c>
      <c r="AB791" s="171"/>
      <c r="AC791" s="172">
        <f t="shared" si="513"/>
        <v>35000</v>
      </c>
      <c r="AD791" s="172">
        <f t="shared" si="513"/>
        <v>35000</v>
      </c>
      <c r="AE791" s="178">
        <f>O791/M791*100</f>
        <v>68.562825830511059</v>
      </c>
      <c r="AF791" s="178">
        <f t="shared" ref="AF791:AG794" si="514">P791/O791*100</f>
        <v>67.953254105355171</v>
      </c>
      <c r="AG791" s="178">
        <f t="shared" si="514"/>
        <v>150</v>
      </c>
      <c r="AH791" s="178">
        <f>AC791/Q791*100</f>
        <v>89.743589743589752</v>
      </c>
      <c r="AI791" s="171"/>
      <c r="AJ791" s="171">
        <v>0</v>
      </c>
      <c r="AK791" s="171">
        <f t="shared" si="511"/>
        <v>102.89124395513942</v>
      </c>
      <c r="AL791" s="171">
        <f t="shared" si="512"/>
        <v>0</v>
      </c>
      <c r="AM791" s="171"/>
      <c r="AN791" s="90"/>
      <c r="AO791" s="193"/>
      <c r="AP791" s="193" t="e">
        <f t="shared" ca="1" si="479"/>
        <v>#NAME?</v>
      </c>
      <c r="AQ791" s="200">
        <f>AQ792</f>
        <v>39059.339999999997</v>
      </c>
      <c r="AR791" s="204">
        <f t="shared" si="491"/>
        <v>102.89124395513942</v>
      </c>
      <c r="AS791" s="204">
        <f t="shared" si="484"/>
        <v>100</v>
      </c>
      <c r="AT791" s="204">
        <f t="shared" si="492"/>
        <v>102.89124395513942</v>
      </c>
      <c r="AU791" s="204">
        <f t="shared" si="485"/>
        <v>97.648349999999994</v>
      </c>
      <c r="AV791" s="204">
        <f t="shared" si="493"/>
        <v>100.47160201666838</v>
      </c>
    </row>
    <row r="792" spans="1:48" ht="12" customHeight="1">
      <c r="A792" s="301"/>
      <c r="B792" s="301"/>
      <c r="C792" s="301"/>
      <c r="D792" s="301"/>
      <c r="E792" s="301"/>
      <c r="F792" s="301"/>
      <c r="G792" s="301"/>
      <c r="H792" s="307"/>
      <c r="I792" s="350"/>
      <c r="J792" s="302">
        <v>32</v>
      </c>
      <c r="K792" s="343" t="s">
        <v>233</v>
      </c>
      <c r="L792" s="112">
        <f t="shared" si="513"/>
        <v>420464</v>
      </c>
      <c r="M792" s="112">
        <f t="shared" si="513"/>
        <v>55805.162917247326</v>
      </c>
      <c r="N792" s="113">
        <f t="shared" si="513"/>
        <v>288282</v>
      </c>
      <c r="O792" s="113">
        <f t="shared" si="513"/>
        <v>38261.596655385227</v>
      </c>
      <c r="P792" s="114">
        <f t="shared" si="513"/>
        <v>26000</v>
      </c>
      <c r="Q792" s="114">
        <f t="shared" si="513"/>
        <v>39000</v>
      </c>
      <c r="R792" s="88">
        <f t="shared" si="513"/>
        <v>38876</v>
      </c>
      <c r="S792" s="90" t="e">
        <f t="shared" ca="1" si="513"/>
        <v>#NAME?</v>
      </c>
      <c r="T792" s="90"/>
      <c r="U792" s="90"/>
      <c r="V792" s="200">
        <f>V793</f>
        <v>40000</v>
      </c>
      <c r="W792" s="200">
        <f t="shared" si="513"/>
        <v>40000</v>
      </c>
      <c r="X792" s="88">
        <f t="shared" si="513"/>
        <v>0</v>
      </c>
      <c r="Y792" s="171">
        <f t="shared" si="513"/>
        <v>0</v>
      </c>
      <c r="Z792" s="171">
        <f t="shared" si="513"/>
        <v>0</v>
      </c>
      <c r="AA792" s="370" t="e">
        <f t="shared" ca="1" si="482"/>
        <v>#NAME?</v>
      </c>
      <c r="AB792" s="171"/>
      <c r="AC792" s="172">
        <f t="shared" si="513"/>
        <v>35000</v>
      </c>
      <c r="AD792" s="172">
        <f t="shared" si="513"/>
        <v>35000</v>
      </c>
      <c r="AE792" s="178">
        <f>O792/M792*100</f>
        <v>68.562825830511059</v>
      </c>
      <c r="AF792" s="178">
        <f t="shared" si="514"/>
        <v>67.953254105355171</v>
      </c>
      <c r="AG792" s="178">
        <f t="shared" si="514"/>
        <v>150</v>
      </c>
      <c r="AH792" s="178">
        <f>AC792/Q792*100</f>
        <v>89.743589743589752</v>
      </c>
      <c r="AI792" s="171"/>
      <c r="AJ792" s="171">
        <v>0</v>
      </c>
      <c r="AK792" s="171">
        <f t="shared" si="511"/>
        <v>102.89124395513942</v>
      </c>
      <c r="AL792" s="171">
        <f t="shared" si="512"/>
        <v>0</v>
      </c>
      <c r="AM792" s="171"/>
      <c r="AN792" s="90"/>
      <c r="AO792" s="193"/>
      <c r="AP792" s="193" t="e">
        <f t="shared" ca="1" si="479"/>
        <v>#NAME?</v>
      </c>
      <c r="AQ792" s="200">
        <f>AQ793</f>
        <v>39059.339999999997</v>
      </c>
      <c r="AR792" s="204">
        <f t="shared" si="491"/>
        <v>102.89124395513942</v>
      </c>
      <c r="AS792" s="204">
        <f t="shared" si="484"/>
        <v>100</v>
      </c>
      <c r="AT792" s="204">
        <f t="shared" si="492"/>
        <v>102.89124395513942</v>
      </c>
      <c r="AU792" s="204">
        <f t="shared" si="485"/>
        <v>97.648349999999994</v>
      </c>
      <c r="AV792" s="204">
        <f t="shared" si="493"/>
        <v>100.47160201666838</v>
      </c>
    </row>
    <row r="793" spans="1:48" ht="12" customHeight="1">
      <c r="A793" s="62"/>
      <c r="B793" s="62"/>
      <c r="C793" s="62"/>
      <c r="D793" s="62"/>
      <c r="E793" s="62"/>
      <c r="F793" s="62"/>
      <c r="G793" s="62"/>
      <c r="H793" s="304"/>
      <c r="I793" s="464"/>
      <c r="J793" s="303">
        <v>323</v>
      </c>
      <c r="K793" s="19" t="s">
        <v>356</v>
      </c>
      <c r="L793" s="112">
        <f t="shared" si="513"/>
        <v>420464</v>
      </c>
      <c r="M793" s="112">
        <f t="shared" si="513"/>
        <v>55805.162917247326</v>
      </c>
      <c r="N793" s="113">
        <f t="shared" si="513"/>
        <v>288282</v>
      </c>
      <c r="O793" s="113">
        <f t="shared" si="513"/>
        <v>38261.596655385227</v>
      </c>
      <c r="P793" s="114">
        <f t="shared" si="513"/>
        <v>26000</v>
      </c>
      <c r="Q793" s="114">
        <f t="shared" si="513"/>
        <v>39000</v>
      </c>
      <c r="R793" s="88">
        <f t="shared" si="513"/>
        <v>38876</v>
      </c>
      <c r="S793" s="90" t="e">
        <f t="shared" ca="1" si="513"/>
        <v>#NAME?</v>
      </c>
      <c r="T793" s="90"/>
      <c r="U793" s="90"/>
      <c r="V793" s="200">
        <f>V794</f>
        <v>40000</v>
      </c>
      <c r="W793" s="200">
        <f t="shared" si="513"/>
        <v>40000</v>
      </c>
      <c r="X793" s="88">
        <f t="shared" si="513"/>
        <v>0</v>
      </c>
      <c r="Y793" s="171">
        <f t="shared" si="513"/>
        <v>0</v>
      </c>
      <c r="Z793" s="171">
        <f t="shared" si="513"/>
        <v>0</v>
      </c>
      <c r="AA793" s="370" t="e">
        <f t="shared" ca="1" si="482"/>
        <v>#NAME?</v>
      </c>
      <c r="AB793" s="171"/>
      <c r="AC793" s="172">
        <f t="shared" si="513"/>
        <v>35000</v>
      </c>
      <c r="AD793" s="172">
        <f t="shared" si="513"/>
        <v>35000</v>
      </c>
      <c r="AE793" s="178">
        <f>O793/M793*100</f>
        <v>68.562825830511059</v>
      </c>
      <c r="AF793" s="178">
        <f t="shared" si="514"/>
        <v>67.953254105355171</v>
      </c>
      <c r="AG793" s="178">
        <f t="shared" si="514"/>
        <v>150</v>
      </c>
      <c r="AH793" s="178">
        <f>AC793/Q793*100</f>
        <v>89.743589743589752</v>
      </c>
      <c r="AI793" s="171"/>
      <c r="AJ793" s="171">
        <v>0</v>
      </c>
      <c r="AK793" s="171">
        <f t="shared" si="511"/>
        <v>102.89124395513942</v>
      </c>
      <c r="AL793" s="171">
        <f t="shared" si="512"/>
        <v>0</v>
      </c>
      <c r="AM793" s="171"/>
      <c r="AN793" s="90"/>
      <c r="AO793" s="460"/>
      <c r="AP793" s="193" t="e">
        <f t="shared" ca="1" si="479"/>
        <v>#NAME?</v>
      </c>
      <c r="AQ793" s="200">
        <f>AQ794</f>
        <v>39059.339999999997</v>
      </c>
      <c r="AR793" s="204">
        <f t="shared" si="491"/>
        <v>102.89124395513942</v>
      </c>
      <c r="AS793" s="204">
        <f t="shared" si="484"/>
        <v>100</v>
      </c>
      <c r="AT793" s="204">
        <f t="shared" si="492"/>
        <v>102.89124395513942</v>
      </c>
      <c r="AU793" s="204">
        <f t="shared" si="485"/>
        <v>97.648349999999994</v>
      </c>
      <c r="AV793" s="204">
        <f t="shared" si="493"/>
        <v>100.47160201666838</v>
      </c>
    </row>
    <row r="794" spans="1:48" ht="12" customHeight="1">
      <c r="A794" s="53"/>
      <c r="B794" s="53"/>
      <c r="C794" s="53"/>
      <c r="D794" s="53"/>
      <c r="E794" s="53"/>
      <c r="F794" s="53"/>
      <c r="G794" s="53"/>
      <c r="H794" s="1" t="s">
        <v>647</v>
      </c>
      <c r="I794" s="345">
        <v>810</v>
      </c>
      <c r="J794" s="229">
        <v>3232</v>
      </c>
      <c r="K794" s="18" t="s">
        <v>648</v>
      </c>
      <c r="L794" s="130">
        <v>420464</v>
      </c>
      <c r="M794" s="130">
        <f>420464/7.5345</f>
        <v>55805.162917247326</v>
      </c>
      <c r="N794" s="131">
        <v>288282</v>
      </c>
      <c r="O794" s="131">
        <f>N794/7.5345</f>
        <v>38261.596655385227</v>
      </c>
      <c r="P794" s="132">
        <v>26000</v>
      </c>
      <c r="Q794" s="163">
        <v>39000</v>
      </c>
      <c r="R794" s="159">
        <v>38876</v>
      </c>
      <c r="S794" s="165" t="e">
        <f ca="1">__xlfn.XLOOKUP(H794,[1]Izvršenje_proračuna_po_pozicija!$B$2:$B$153,[1]Izvršenje_proračuna_po_pozicija!$E$2:$E$153,0)</f>
        <v>#NAME?</v>
      </c>
      <c r="T794" s="165"/>
      <c r="U794" s="165"/>
      <c r="V794" s="200">
        <v>40000</v>
      </c>
      <c r="W794" s="200">
        <v>40000</v>
      </c>
      <c r="X794" s="164"/>
      <c r="Y794" s="378"/>
      <c r="Z794" s="378"/>
      <c r="AA794" s="370" t="e">
        <f t="shared" ca="1" si="482"/>
        <v>#NAME?</v>
      </c>
      <c r="AB794" s="183"/>
      <c r="AC794" s="178">
        <v>35000</v>
      </c>
      <c r="AD794" s="178">
        <v>35000</v>
      </c>
      <c r="AE794" s="178">
        <f>O794/M794*100</f>
        <v>68.562825830511059</v>
      </c>
      <c r="AF794" s="178">
        <f t="shared" si="514"/>
        <v>67.953254105355171</v>
      </c>
      <c r="AG794" s="178">
        <f t="shared" si="514"/>
        <v>150</v>
      </c>
      <c r="AH794" s="178">
        <f>AC794/Q794*100</f>
        <v>89.743589743589752</v>
      </c>
      <c r="AI794" s="183"/>
      <c r="AJ794" s="378"/>
      <c r="AK794" s="171">
        <f t="shared" si="511"/>
        <v>102.89124395513942</v>
      </c>
      <c r="AL794" s="171">
        <f t="shared" si="512"/>
        <v>0</v>
      </c>
      <c r="AM794" s="171"/>
      <c r="AN794" s="165"/>
      <c r="AO794" s="193"/>
      <c r="AP794" s="193" t="e">
        <f t="shared" ca="1" si="479"/>
        <v>#NAME?</v>
      </c>
      <c r="AQ794" s="200">
        <v>39059.339999999997</v>
      </c>
      <c r="AR794" s="204">
        <f t="shared" si="491"/>
        <v>102.89124395513942</v>
      </c>
      <c r="AS794" s="204">
        <f t="shared" si="484"/>
        <v>100</v>
      </c>
      <c r="AT794" s="204">
        <f t="shared" si="492"/>
        <v>102.89124395513942</v>
      </c>
      <c r="AU794" s="204">
        <f t="shared" si="485"/>
        <v>97.648349999999994</v>
      </c>
      <c r="AV794" s="204">
        <f t="shared" si="493"/>
        <v>100.47160201666838</v>
      </c>
    </row>
    <row r="795" spans="1:48" ht="12" customHeight="1">
      <c r="A795" s="42"/>
      <c r="B795" s="42"/>
      <c r="C795" s="42"/>
      <c r="D795" s="42"/>
      <c r="E795" s="42"/>
      <c r="F795" s="42"/>
      <c r="G795" s="42"/>
      <c r="H795" s="308"/>
      <c r="I795" s="14"/>
      <c r="J795" s="2"/>
      <c r="K795" s="84"/>
      <c r="L795" s="85"/>
      <c r="M795" s="85"/>
      <c r="N795" s="86"/>
      <c r="O795" s="86"/>
      <c r="P795" s="87"/>
      <c r="Q795" s="87"/>
      <c r="R795" s="160"/>
      <c r="S795" s="165" t="e">
        <f ca="1">__xlfn.XLOOKUP(H795,[1]Izvršenje_proračuna_po_pozicija!$B$2:$B$153,[1]Izvršenje_proračuna_po_pozicija!$E$2:$E$153,0)</f>
        <v>#NAME?</v>
      </c>
      <c r="T795" s="165"/>
      <c r="U795" s="165"/>
      <c r="V795" s="200"/>
      <c r="W795" s="200"/>
      <c r="X795" s="361"/>
      <c r="Y795" s="373"/>
      <c r="Z795" s="373"/>
      <c r="AA795" s="370" t="e">
        <f t="shared" ca="1" si="482"/>
        <v>#NAME?</v>
      </c>
      <c r="AB795" s="181"/>
      <c r="AC795" s="182"/>
      <c r="AD795" s="182"/>
      <c r="AE795" s="178"/>
      <c r="AF795" s="178"/>
      <c r="AG795" s="178"/>
      <c r="AH795" s="178"/>
      <c r="AI795" s="181"/>
      <c r="AJ795" s="373"/>
      <c r="AK795" s="171"/>
      <c r="AL795" s="171"/>
      <c r="AM795" s="171"/>
      <c r="AN795" s="161"/>
      <c r="AO795" s="193"/>
      <c r="AP795" s="193" t="e">
        <f t="shared" ca="1" si="479"/>
        <v>#NAME?</v>
      </c>
      <c r="AQ795" s="200"/>
      <c r="AR795" s="204"/>
      <c r="AS795" s="204"/>
      <c r="AT795" s="204"/>
      <c r="AU795" s="204"/>
      <c r="AV795" s="204"/>
    </row>
    <row r="796" spans="1:48" ht="12" customHeight="1">
      <c r="A796" s="390" t="s">
        <v>366</v>
      </c>
      <c r="B796" s="391"/>
      <c r="C796" s="391"/>
      <c r="D796" s="391"/>
      <c r="E796" s="391"/>
      <c r="F796" s="391"/>
      <c r="G796" s="391"/>
      <c r="H796" s="392"/>
      <c r="I796" s="485" t="s">
        <v>649</v>
      </c>
      <c r="J796" s="486"/>
      <c r="K796" s="300"/>
      <c r="L796" s="112">
        <f t="shared" ref="L796:S796" si="515">L798</f>
        <v>306000</v>
      </c>
      <c r="M796" s="112">
        <f t="shared" si="515"/>
        <v>40613.179374875574</v>
      </c>
      <c r="N796" s="113">
        <f t="shared" si="515"/>
        <v>315000</v>
      </c>
      <c r="O796" s="113">
        <f t="shared" si="515"/>
        <v>41807.684650607203</v>
      </c>
      <c r="P796" s="114">
        <f t="shared" si="515"/>
        <v>52000</v>
      </c>
      <c r="Q796" s="114">
        <f t="shared" si="515"/>
        <v>52000</v>
      </c>
      <c r="R796" s="88">
        <f t="shared" si="515"/>
        <v>52200</v>
      </c>
      <c r="S796" s="90" t="e">
        <f t="shared" ca="1" si="515"/>
        <v>#NAME?</v>
      </c>
      <c r="T796" s="90"/>
      <c r="U796" s="90"/>
      <c r="V796" s="200">
        <f>V798</f>
        <v>57000</v>
      </c>
      <c r="W796" s="200">
        <f>W798</f>
        <v>57000</v>
      </c>
      <c r="X796" s="88">
        <f>X798</f>
        <v>72000</v>
      </c>
      <c r="Y796" s="171">
        <f>Y798</f>
        <v>75000</v>
      </c>
      <c r="Z796" s="171">
        <f>Z798</f>
        <v>0</v>
      </c>
      <c r="AA796" s="370" t="e">
        <f t="shared" ca="1" si="482"/>
        <v>#NAME?</v>
      </c>
      <c r="AB796" s="171"/>
      <c r="AC796" s="172">
        <f>AC798</f>
        <v>52000</v>
      </c>
      <c r="AD796" s="172">
        <f>AD798</f>
        <v>52000</v>
      </c>
      <c r="AE796" s="178">
        <f>O796/M796*100</f>
        <v>102.94117647058823</v>
      </c>
      <c r="AF796" s="178">
        <f>P796/O796*100</f>
        <v>124.37904761904764</v>
      </c>
      <c r="AG796" s="178">
        <f>Q796/P796*100</f>
        <v>100</v>
      </c>
      <c r="AH796" s="178">
        <f>AC796/Q796*100</f>
        <v>100</v>
      </c>
      <c r="AI796" s="171"/>
      <c r="AJ796" s="171">
        <v>75000</v>
      </c>
      <c r="AK796" s="171">
        <f t="shared" si="511"/>
        <v>109.19540229885058</v>
      </c>
      <c r="AL796" s="171">
        <f t="shared" si="512"/>
        <v>126.31578947368421</v>
      </c>
      <c r="AM796" s="171">
        <f t="shared" si="512"/>
        <v>104.16666666666667</v>
      </c>
      <c r="AN796" s="90"/>
      <c r="AO796" s="193"/>
      <c r="AP796" s="193" t="e">
        <f t="shared" ca="1" si="479"/>
        <v>#NAME?</v>
      </c>
      <c r="AQ796" s="200">
        <f>AQ798</f>
        <v>57200</v>
      </c>
      <c r="AR796" s="204">
        <f t="shared" si="491"/>
        <v>109.19540229885058</v>
      </c>
      <c r="AS796" s="204">
        <f t="shared" si="484"/>
        <v>100</v>
      </c>
      <c r="AT796" s="204">
        <f t="shared" si="492"/>
        <v>109.19540229885058</v>
      </c>
      <c r="AU796" s="204">
        <f t="shared" si="485"/>
        <v>100.35087719298245</v>
      </c>
      <c r="AV796" s="204">
        <f t="shared" si="493"/>
        <v>109.57854406130268</v>
      </c>
    </row>
    <row r="797" spans="1:48" ht="12" customHeight="1">
      <c r="A797" s="69"/>
      <c r="B797" s="69"/>
      <c r="C797" s="69"/>
      <c r="D797" s="69"/>
      <c r="E797" s="69"/>
      <c r="F797" s="69"/>
      <c r="G797" s="69"/>
      <c r="H797" s="436"/>
      <c r="I797" s="3"/>
      <c r="J797" s="7"/>
      <c r="K797" s="7"/>
      <c r="L797" s="85"/>
      <c r="M797" s="85"/>
      <c r="N797" s="86"/>
      <c r="O797" s="86"/>
      <c r="P797" s="87"/>
      <c r="Q797" s="87"/>
      <c r="R797" s="160"/>
      <c r="S797" s="165" t="e">
        <f ca="1">__xlfn.XLOOKUP(H797,[1]Izvršenje_proračuna_po_pozicija!$B$2:$B$153,[1]Izvršenje_proračuna_po_pozicija!$E$2:$E$153,0)</f>
        <v>#NAME?</v>
      </c>
      <c r="T797" s="165"/>
      <c r="U797" s="165"/>
      <c r="V797" s="200"/>
      <c r="W797" s="200"/>
      <c r="X797" s="361"/>
      <c r="Y797" s="373"/>
      <c r="Z797" s="373"/>
      <c r="AA797" s="370" t="e">
        <f t="shared" ca="1" si="482"/>
        <v>#NAME?</v>
      </c>
      <c r="AB797" s="181"/>
      <c r="AC797" s="182"/>
      <c r="AD797" s="182"/>
      <c r="AE797" s="178"/>
      <c r="AF797" s="178"/>
      <c r="AG797" s="178"/>
      <c r="AH797" s="178"/>
      <c r="AI797" s="181"/>
      <c r="AJ797" s="373"/>
      <c r="AK797" s="171"/>
      <c r="AL797" s="171"/>
      <c r="AM797" s="171"/>
      <c r="AN797" s="161"/>
      <c r="AO797" s="193"/>
      <c r="AP797" s="193" t="e">
        <f t="shared" ca="1" si="479"/>
        <v>#NAME?</v>
      </c>
      <c r="AQ797" s="200"/>
      <c r="AR797" s="204"/>
      <c r="AS797" s="204"/>
      <c r="AT797" s="204"/>
      <c r="AU797" s="204"/>
      <c r="AV797" s="204"/>
    </row>
    <row r="798" spans="1:48" ht="12" customHeight="1">
      <c r="A798" s="24"/>
      <c r="B798" s="24"/>
      <c r="C798" s="24"/>
      <c r="D798" s="24"/>
      <c r="E798" s="24"/>
      <c r="F798" s="24"/>
      <c r="G798" s="24"/>
      <c r="H798" s="393"/>
      <c r="I798" s="465"/>
      <c r="J798" s="281">
        <v>3</v>
      </c>
      <c r="K798" s="2" t="s">
        <v>224</v>
      </c>
      <c r="L798" s="112">
        <f t="shared" ref="L798:S801" si="516">L799</f>
        <v>306000</v>
      </c>
      <c r="M798" s="112">
        <f t="shared" si="516"/>
        <v>40613.179374875574</v>
      </c>
      <c r="N798" s="113">
        <f t="shared" si="516"/>
        <v>315000</v>
      </c>
      <c r="O798" s="113">
        <f t="shared" si="516"/>
        <v>41807.684650607203</v>
      </c>
      <c r="P798" s="114">
        <f t="shared" si="516"/>
        <v>52000</v>
      </c>
      <c r="Q798" s="114">
        <f t="shared" si="516"/>
        <v>52000</v>
      </c>
      <c r="R798" s="88">
        <f t="shared" si="516"/>
        <v>52200</v>
      </c>
      <c r="S798" s="90" t="e">
        <f t="shared" ca="1" si="516"/>
        <v>#NAME?</v>
      </c>
      <c r="T798" s="90"/>
      <c r="U798" s="90"/>
      <c r="V798" s="200">
        <f>V799</f>
        <v>57000</v>
      </c>
      <c r="W798" s="200">
        <f t="shared" ref="W798:Z801" si="517">W799</f>
        <v>57000</v>
      </c>
      <c r="X798" s="88">
        <f t="shared" si="517"/>
        <v>72000</v>
      </c>
      <c r="Y798" s="171">
        <f t="shared" si="517"/>
        <v>75000</v>
      </c>
      <c r="Z798" s="171">
        <f t="shared" si="517"/>
        <v>0</v>
      </c>
      <c r="AA798" s="370" t="e">
        <f t="shared" ca="1" si="482"/>
        <v>#NAME?</v>
      </c>
      <c r="AB798" s="171"/>
      <c r="AC798" s="172">
        <f>AC799</f>
        <v>52000</v>
      </c>
      <c r="AD798" s="172">
        <f>AD799</f>
        <v>52000</v>
      </c>
      <c r="AE798" s="178">
        <f t="shared" ref="AE798:AE810" si="518">O798/M798*100</f>
        <v>102.94117647058823</v>
      </c>
      <c r="AF798" s="178">
        <f t="shared" ref="AF798:AG802" si="519">P798/O798*100</f>
        <v>124.37904761904764</v>
      </c>
      <c r="AG798" s="178">
        <f t="shared" si="519"/>
        <v>100</v>
      </c>
      <c r="AH798" s="178">
        <f>AC798/Q798*100</f>
        <v>100</v>
      </c>
      <c r="AI798" s="171"/>
      <c r="AJ798" s="171">
        <v>75000</v>
      </c>
      <c r="AK798" s="171">
        <f t="shared" si="511"/>
        <v>109.19540229885058</v>
      </c>
      <c r="AL798" s="171">
        <f t="shared" si="512"/>
        <v>126.31578947368421</v>
      </c>
      <c r="AM798" s="171">
        <f t="shared" si="512"/>
        <v>104.16666666666667</v>
      </c>
      <c r="AN798" s="90"/>
      <c r="AO798" s="193"/>
      <c r="AP798" s="193" t="e">
        <f t="shared" ca="1" si="479"/>
        <v>#NAME?</v>
      </c>
      <c r="AQ798" s="200">
        <f>AQ799</f>
        <v>57200</v>
      </c>
      <c r="AR798" s="204">
        <f t="shared" si="491"/>
        <v>109.19540229885058</v>
      </c>
      <c r="AS798" s="204">
        <f t="shared" si="484"/>
        <v>100</v>
      </c>
      <c r="AT798" s="204">
        <f t="shared" si="492"/>
        <v>109.19540229885058</v>
      </c>
      <c r="AU798" s="204">
        <f t="shared" si="485"/>
        <v>100.35087719298245</v>
      </c>
      <c r="AV798" s="204">
        <f t="shared" si="493"/>
        <v>109.57854406130268</v>
      </c>
    </row>
    <row r="799" spans="1:48" ht="12" customHeight="1">
      <c r="A799" s="301"/>
      <c r="B799" s="301"/>
      <c r="C799" s="301"/>
      <c r="D799" s="301"/>
      <c r="E799" s="301"/>
      <c r="F799" s="301"/>
      <c r="G799" s="301"/>
      <c r="H799" s="307"/>
      <c r="I799" s="350"/>
      <c r="J799" s="302">
        <v>38</v>
      </c>
      <c r="K799" s="343" t="s">
        <v>285</v>
      </c>
      <c r="L799" s="112">
        <f t="shared" si="516"/>
        <v>306000</v>
      </c>
      <c r="M799" s="112">
        <f t="shared" si="516"/>
        <v>40613.179374875574</v>
      </c>
      <c r="N799" s="113">
        <f t="shared" si="516"/>
        <v>315000</v>
      </c>
      <c r="O799" s="113">
        <f t="shared" si="516"/>
        <v>41807.684650607203</v>
      </c>
      <c r="P799" s="114">
        <f t="shared" si="516"/>
        <v>52000</v>
      </c>
      <c r="Q799" s="114">
        <f t="shared" si="516"/>
        <v>52000</v>
      </c>
      <c r="R799" s="88">
        <f t="shared" si="516"/>
        <v>52200</v>
      </c>
      <c r="S799" s="90" t="e">
        <f t="shared" ca="1" si="516"/>
        <v>#NAME?</v>
      </c>
      <c r="T799" s="90"/>
      <c r="U799" s="90"/>
      <c r="V799" s="200">
        <f>V800</f>
        <v>57000</v>
      </c>
      <c r="W799" s="200">
        <f t="shared" si="517"/>
        <v>57000</v>
      </c>
      <c r="X799" s="88">
        <f t="shared" si="517"/>
        <v>72000</v>
      </c>
      <c r="Y799" s="171">
        <f t="shared" si="517"/>
        <v>75000</v>
      </c>
      <c r="Z799" s="171">
        <f t="shared" si="517"/>
        <v>0</v>
      </c>
      <c r="AA799" s="370" t="e">
        <f t="shared" ca="1" si="482"/>
        <v>#NAME?</v>
      </c>
      <c r="AB799" s="171"/>
      <c r="AC799" s="172">
        <f t="shared" ref="AC799:AD801" si="520">AC800</f>
        <v>52000</v>
      </c>
      <c r="AD799" s="172">
        <f t="shared" si="520"/>
        <v>52000</v>
      </c>
      <c r="AE799" s="178">
        <f t="shared" si="518"/>
        <v>102.94117647058823</v>
      </c>
      <c r="AF799" s="178">
        <f t="shared" si="519"/>
        <v>124.37904761904764</v>
      </c>
      <c r="AG799" s="178">
        <f t="shared" si="519"/>
        <v>100</v>
      </c>
      <c r="AH799" s="178">
        <f>AC799/Q799*100</f>
        <v>100</v>
      </c>
      <c r="AI799" s="171"/>
      <c r="AJ799" s="171">
        <v>75000</v>
      </c>
      <c r="AK799" s="171">
        <f t="shared" si="511"/>
        <v>109.19540229885058</v>
      </c>
      <c r="AL799" s="171">
        <f t="shared" si="512"/>
        <v>126.31578947368421</v>
      </c>
      <c r="AM799" s="171">
        <f t="shared" si="512"/>
        <v>104.16666666666667</v>
      </c>
      <c r="AN799" s="90"/>
      <c r="AO799" s="193"/>
      <c r="AP799" s="193" t="e">
        <f t="shared" ref="AP799:AP862" ca="1" si="521">__xlfn.ISFORMULA(X799)</f>
        <v>#NAME?</v>
      </c>
      <c r="AQ799" s="200">
        <f>AQ800</f>
        <v>57200</v>
      </c>
      <c r="AR799" s="204">
        <f t="shared" si="491"/>
        <v>109.19540229885058</v>
      </c>
      <c r="AS799" s="204">
        <f t="shared" si="484"/>
        <v>100</v>
      </c>
      <c r="AT799" s="204">
        <f t="shared" si="492"/>
        <v>109.19540229885058</v>
      </c>
      <c r="AU799" s="204">
        <f t="shared" si="485"/>
        <v>100.35087719298245</v>
      </c>
      <c r="AV799" s="204">
        <f t="shared" si="493"/>
        <v>109.57854406130268</v>
      </c>
    </row>
    <row r="800" spans="1:48" ht="12" customHeight="1">
      <c r="A800" s="62"/>
      <c r="B800" s="62"/>
      <c r="C800" s="62"/>
      <c r="D800" s="62"/>
      <c r="E800" s="62"/>
      <c r="F800" s="62"/>
      <c r="G800" s="62"/>
      <c r="H800" s="304"/>
      <c r="I800" s="464"/>
      <c r="J800" s="303">
        <v>381</v>
      </c>
      <c r="K800" s="19" t="s">
        <v>407</v>
      </c>
      <c r="L800" s="112">
        <f t="shared" si="516"/>
        <v>306000</v>
      </c>
      <c r="M800" s="112">
        <f t="shared" si="516"/>
        <v>40613.179374875574</v>
      </c>
      <c r="N800" s="113">
        <f t="shared" si="516"/>
        <v>315000</v>
      </c>
      <c r="O800" s="113">
        <f t="shared" si="516"/>
        <v>41807.684650607203</v>
      </c>
      <c r="P800" s="114">
        <f t="shared" si="516"/>
        <v>52000</v>
      </c>
      <c r="Q800" s="114">
        <f t="shared" si="516"/>
        <v>52000</v>
      </c>
      <c r="R800" s="88">
        <f t="shared" si="516"/>
        <v>52200</v>
      </c>
      <c r="S800" s="90" t="e">
        <f t="shared" ca="1" si="516"/>
        <v>#NAME?</v>
      </c>
      <c r="T800" s="90"/>
      <c r="U800" s="90"/>
      <c r="V800" s="200">
        <f>V801</f>
        <v>57000</v>
      </c>
      <c r="W800" s="200">
        <f t="shared" si="517"/>
        <v>57000</v>
      </c>
      <c r="X800" s="88">
        <f t="shared" si="517"/>
        <v>72000</v>
      </c>
      <c r="Y800" s="171">
        <f t="shared" si="517"/>
        <v>75000</v>
      </c>
      <c r="Z800" s="171">
        <f t="shared" si="517"/>
        <v>0</v>
      </c>
      <c r="AA800" s="370" t="e">
        <f t="shared" ca="1" si="482"/>
        <v>#NAME?</v>
      </c>
      <c r="AB800" s="171"/>
      <c r="AC800" s="172">
        <f t="shared" si="520"/>
        <v>52000</v>
      </c>
      <c r="AD800" s="172">
        <f t="shared" si="520"/>
        <v>52000</v>
      </c>
      <c r="AE800" s="178">
        <f t="shared" si="518"/>
        <v>102.94117647058823</v>
      </c>
      <c r="AF800" s="178">
        <f t="shared" si="519"/>
        <v>124.37904761904764</v>
      </c>
      <c r="AG800" s="178">
        <f t="shared" si="519"/>
        <v>100</v>
      </c>
      <c r="AH800" s="178">
        <f>AC800/Q800*100</f>
        <v>100</v>
      </c>
      <c r="AI800" s="171"/>
      <c r="AJ800" s="171">
        <v>75000</v>
      </c>
      <c r="AK800" s="171">
        <f t="shared" si="511"/>
        <v>109.19540229885058</v>
      </c>
      <c r="AL800" s="171">
        <f t="shared" si="512"/>
        <v>126.31578947368421</v>
      </c>
      <c r="AM800" s="171">
        <f t="shared" si="512"/>
        <v>104.16666666666667</v>
      </c>
      <c r="AN800" s="90"/>
      <c r="AO800" s="193"/>
      <c r="AP800" s="193" t="e">
        <f t="shared" ca="1" si="521"/>
        <v>#NAME?</v>
      </c>
      <c r="AQ800" s="200">
        <f>AQ801</f>
        <v>57200</v>
      </c>
      <c r="AR800" s="204">
        <f t="shared" si="491"/>
        <v>109.19540229885058</v>
      </c>
      <c r="AS800" s="204">
        <f t="shared" si="484"/>
        <v>100</v>
      </c>
      <c r="AT800" s="204">
        <f t="shared" si="492"/>
        <v>109.19540229885058</v>
      </c>
      <c r="AU800" s="204">
        <f t="shared" si="485"/>
        <v>100.35087719298245</v>
      </c>
      <c r="AV800" s="204">
        <f t="shared" si="493"/>
        <v>109.57854406130268</v>
      </c>
    </row>
    <row r="801" spans="1:48" ht="12" customHeight="1">
      <c r="A801" s="53"/>
      <c r="B801" s="53"/>
      <c r="C801" s="53"/>
      <c r="D801" s="53"/>
      <c r="E801" s="53"/>
      <c r="F801" s="53"/>
      <c r="G801" s="53"/>
      <c r="H801" s="1"/>
      <c r="I801" s="397"/>
      <c r="J801" s="229">
        <v>3811</v>
      </c>
      <c r="K801" s="18" t="s">
        <v>286</v>
      </c>
      <c r="L801" s="112">
        <f t="shared" si="516"/>
        <v>306000</v>
      </c>
      <c r="M801" s="112">
        <f t="shared" si="516"/>
        <v>40613.179374875574</v>
      </c>
      <c r="N801" s="113">
        <f t="shared" si="516"/>
        <v>315000</v>
      </c>
      <c r="O801" s="113">
        <f t="shared" si="516"/>
        <v>41807.684650607203</v>
      </c>
      <c r="P801" s="114">
        <f t="shared" si="516"/>
        <v>52000</v>
      </c>
      <c r="Q801" s="114">
        <f t="shared" si="516"/>
        <v>52000</v>
      </c>
      <c r="R801" s="88">
        <f t="shared" si="516"/>
        <v>52200</v>
      </c>
      <c r="S801" s="90" t="e">
        <f t="shared" ca="1" si="516"/>
        <v>#NAME?</v>
      </c>
      <c r="T801" s="90"/>
      <c r="U801" s="90"/>
      <c r="V801" s="200">
        <f>V802</f>
        <v>57000</v>
      </c>
      <c r="W801" s="200">
        <f t="shared" si="517"/>
        <v>57000</v>
      </c>
      <c r="X801" s="88">
        <f t="shared" si="517"/>
        <v>72000</v>
      </c>
      <c r="Y801" s="171">
        <f t="shared" si="517"/>
        <v>75000</v>
      </c>
      <c r="Z801" s="171">
        <f t="shared" si="517"/>
        <v>0</v>
      </c>
      <c r="AA801" s="370" t="e">
        <f t="shared" ref="AA801:AA864" ca="1" si="522">__xlfn.ISFORMULA(R801)</f>
        <v>#NAME?</v>
      </c>
      <c r="AB801" s="171"/>
      <c r="AC801" s="172">
        <f t="shared" si="520"/>
        <v>52000</v>
      </c>
      <c r="AD801" s="172">
        <f t="shared" si="520"/>
        <v>52000</v>
      </c>
      <c r="AE801" s="178">
        <f t="shared" si="518"/>
        <v>102.94117647058823</v>
      </c>
      <c r="AF801" s="178">
        <f t="shared" si="519"/>
        <v>124.37904761904764</v>
      </c>
      <c r="AG801" s="178">
        <f t="shared" si="519"/>
        <v>100</v>
      </c>
      <c r="AH801" s="178">
        <f>AC801/Q801*100</f>
        <v>100</v>
      </c>
      <c r="AI801" s="171"/>
      <c r="AJ801" s="171">
        <v>75000</v>
      </c>
      <c r="AK801" s="171">
        <f t="shared" si="511"/>
        <v>109.19540229885058</v>
      </c>
      <c r="AL801" s="171">
        <f t="shared" si="512"/>
        <v>126.31578947368421</v>
      </c>
      <c r="AM801" s="171">
        <f t="shared" si="512"/>
        <v>104.16666666666667</v>
      </c>
      <c r="AN801" s="90"/>
      <c r="AO801" s="193"/>
      <c r="AP801" s="193" t="e">
        <f t="shared" ca="1" si="521"/>
        <v>#NAME?</v>
      </c>
      <c r="AQ801" s="200">
        <f>AQ802</f>
        <v>57200</v>
      </c>
      <c r="AR801" s="204">
        <f t="shared" si="491"/>
        <v>109.19540229885058</v>
      </c>
      <c r="AS801" s="204">
        <f t="shared" si="484"/>
        <v>100</v>
      </c>
      <c r="AT801" s="204">
        <f t="shared" si="492"/>
        <v>109.19540229885058</v>
      </c>
      <c r="AU801" s="204">
        <f t="shared" si="485"/>
        <v>100.35087719298245</v>
      </c>
      <c r="AV801" s="204">
        <f t="shared" si="493"/>
        <v>109.57854406130268</v>
      </c>
    </row>
    <row r="802" spans="1:48" ht="12" customHeight="1">
      <c r="A802" s="53"/>
      <c r="B802" s="53"/>
      <c r="C802" s="53"/>
      <c r="D802" s="53"/>
      <c r="E802" s="53"/>
      <c r="F802" s="53"/>
      <c r="G802" s="53"/>
      <c r="H802" s="1"/>
      <c r="I802" s="397"/>
      <c r="J802" s="229">
        <v>3811</v>
      </c>
      <c r="K802" s="18" t="s">
        <v>650</v>
      </c>
      <c r="L802" s="112">
        <v>306000</v>
      </c>
      <c r="M802" s="112">
        <f>306000/7.5345</f>
        <v>40613.179374875574</v>
      </c>
      <c r="N802" s="113">
        <v>315000</v>
      </c>
      <c r="O802" s="113">
        <f>N802/7.5345</f>
        <v>41807.684650607203</v>
      </c>
      <c r="P802" s="114">
        <v>52000</v>
      </c>
      <c r="Q802" s="114">
        <v>52000</v>
      </c>
      <c r="R802" s="88">
        <f t="shared" ref="R802:Z802" si="523">SUM(R803:R810)</f>
        <v>52200</v>
      </c>
      <c r="S802" s="90" t="e">
        <f t="shared" ca="1" si="523"/>
        <v>#NAME?</v>
      </c>
      <c r="T802" s="90"/>
      <c r="U802" s="90"/>
      <c r="V802" s="200">
        <f t="shared" si="523"/>
        <v>57000</v>
      </c>
      <c r="W802" s="200">
        <f t="shared" si="523"/>
        <v>57000</v>
      </c>
      <c r="X802" s="88">
        <f t="shared" si="523"/>
        <v>72000</v>
      </c>
      <c r="Y802" s="171">
        <f t="shared" si="523"/>
        <v>75000</v>
      </c>
      <c r="Z802" s="171">
        <f t="shared" si="523"/>
        <v>0</v>
      </c>
      <c r="AA802" s="370" t="e">
        <f t="shared" ca="1" si="522"/>
        <v>#NAME?</v>
      </c>
      <c r="AB802" s="171"/>
      <c r="AC802" s="172">
        <v>52000</v>
      </c>
      <c r="AD802" s="172">
        <v>52000</v>
      </c>
      <c r="AE802" s="178">
        <f t="shared" si="518"/>
        <v>102.94117647058823</v>
      </c>
      <c r="AF802" s="178">
        <f t="shared" si="519"/>
        <v>124.37904761904764</v>
      </c>
      <c r="AG802" s="178">
        <f t="shared" si="519"/>
        <v>100</v>
      </c>
      <c r="AH802" s="178">
        <f>AC802/Q802*100</f>
        <v>100</v>
      </c>
      <c r="AI802" s="171"/>
      <c r="AJ802" s="171">
        <v>75000</v>
      </c>
      <c r="AK802" s="171">
        <f t="shared" si="511"/>
        <v>109.19540229885058</v>
      </c>
      <c r="AL802" s="171">
        <f t="shared" si="512"/>
        <v>126.31578947368421</v>
      </c>
      <c r="AM802" s="171">
        <f t="shared" si="512"/>
        <v>104.16666666666667</v>
      </c>
      <c r="AN802" s="90"/>
      <c r="AO802" s="193"/>
      <c r="AP802" s="193" t="e">
        <f t="shared" ca="1" si="521"/>
        <v>#NAME?</v>
      </c>
      <c r="AQ802" s="200">
        <f>SUM(AQ803:AQ810)</f>
        <v>57200</v>
      </c>
      <c r="AR802" s="204">
        <f t="shared" si="491"/>
        <v>109.19540229885058</v>
      </c>
      <c r="AS802" s="204">
        <f t="shared" si="484"/>
        <v>100</v>
      </c>
      <c r="AT802" s="204">
        <f t="shared" si="492"/>
        <v>109.19540229885058</v>
      </c>
      <c r="AU802" s="204">
        <f t="shared" si="485"/>
        <v>100.35087719298245</v>
      </c>
      <c r="AV802" s="204">
        <f t="shared" si="493"/>
        <v>109.57854406130268</v>
      </c>
    </row>
    <row r="803" spans="1:48" ht="12" customHeight="1">
      <c r="A803" s="53"/>
      <c r="B803" s="53"/>
      <c r="C803" s="53"/>
      <c r="D803" s="53"/>
      <c r="E803" s="53"/>
      <c r="F803" s="53"/>
      <c r="G803" s="53"/>
      <c r="H803" s="1">
        <v>146</v>
      </c>
      <c r="I803" s="397">
        <v>810</v>
      </c>
      <c r="J803" s="229">
        <v>3811</v>
      </c>
      <c r="K803" s="18" t="s">
        <v>651</v>
      </c>
      <c r="L803" s="130">
        <v>30000</v>
      </c>
      <c r="M803" s="130">
        <f>30000/7.5345</f>
        <v>3981.6842524387812</v>
      </c>
      <c r="N803" s="131"/>
      <c r="O803" s="131"/>
      <c r="P803" s="132"/>
      <c r="Q803" s="132"/>
      <c r="R803" s="159">
        <v>5600</v>
      </c>
      <c r="S803" s="165" t="e">
        <f ca="1">__xlfn.XLOOKUP(H803,[1]Izvršenje_proračuna_po_pozicija!$B$2:$B$153,[1]Izvršenje_proračuna_po_pozicija!$E$2:$E$153,0)</f>
        <v>#NAME?</v>
      </c>
      <c r="T803" s="165"/>
      <c r="U803" s="165"/>
      <c r="V803" s="200"/>
      <c r="W803" s="200"/>
      <c r="X803" s="164"/>
      <c r="Y803" s="378"/>
      <c r="Z803" s="378"/>
      <c r="AA803" s="370" t="e">
        <f t="shared" ca="1" si="522"/>
        <v>#NAME?</v>
      </c>
      <c r="AB803" s="183"/>
      <c r="AC803" s="178"/>
      <c r="AD803" s="178"/>
      <c r="AE803" s="178">
        <f t="shared" si="518"/>
        <v>0</v>
      </c>
      <c r="AF803" s="178"/>
      <c r="AG803" s="178"/>
      <c r="AH803" s="178"/>
      <c r="AI803" s="183"/>
      <c r="AJ803" s="378"/>
      <c r="AK803" s="171">
        <f t="shared" si="511"/>
        <v>0</v>
      </c>
      <c r="AL803" s="171"/>
      <c r="AM803" s="171"/>
      <c r="AN803" s="165"/>
      <c r="AO803" s="193"/>
      <c r="AP803" s="193" t="e">
        <f t="shared" ca="1" si="521"/>
        <v>#NAME?</v>
      </c>
      <c r="AQ803" s="200"/>
      <c r="AR803" s="204">
        <f t="shared" si="491"/>
        <v>0</v>
      </c>
      <c r="AS803" s="204"/>
      <c r="AT803" s="204">
        <f t="shared" si="492"/>
        <v>0</v>
      </c>
      <c r="AU803" s="204"/>
      <c r="AV803" s="204">
        <f t="shared" si="493"/>
        <v>0</v>
      </c>
    </row>
    <row r="804" spans="1:48" ht="12" customHeight="1">
      <c r="A804" s="53"/>
      <c r="B804" s="53"/>
      <c r="C804" s="53"/>
      <c r="D804" s="53"/>
      <c r="E804" s="53"/>
      <c r="F804" s="53"/>
      <c r="G804" s="53"/>
      <c r="H804" s="1">
        <v>147</v>
      </c>
      <c r="I804" s="397">
        <v>810</v>
      </c>
      <c r="J804" s="229">
        <v>3811</v>
      </c>
      <c r="K804" s="18" t="s">
        <v>652</v>
      </c>
      <c r="L804" s="130">
        <v>80000</v>
      </c>
      <c r="M804" s="130">
        <f>80000/7.5345</f>
        <v>10617.824673170084</v>
      </c>
      <c r="N804" s="131"/>
      <c r="O804" s="131"/>
      <c r="P804" s="132"/>
      <c r="Q804" s="132"/>
      <c r="R804" s="159">
        <v>11000</v>
      </c>
      <c r="S804" s="165" t="e">
        <f ca="1">__xlfn.XLOOKUP(H804,[1]Izvršenje_proračuna_po_pozicija!$B$2:$B$153,[1]Izvršenje_proračuna_po_pozicija!$E$2:$E$153,0)</f>
        <v>#NAME?</v>
      </c>
      <c r="T804" s="165"/>
      <c r="U804" s="165"/>
      <c r="V804" s="200"/>
      <c r="W804" s="200"/>
      <c r="X804" s="164"/>
      <c r="Y804" s="378"/>
      <c r="Z804" s="378"/>
      <c r="AA804" s="370" t="e">
        <f t="shared" ca="1" si="522"/>
        <v>#NAME?</v>
      </c>
      <c r="AB804" s="183"/>
      <c r="AC804" s="178"/>
      <c r="AD804" s="178"/>
      <c r="AE804" s="178">
        <f t="shared" si="518"/>
        <v>0</v>
      </c>
      <c r="AF804" s="178"/>
      <c r="AG804" s="178"/>
      <c r="AH804" s="178"/>
      <c r="AI804" s="183"/>
      <c r="AJ804" s="378"/>
      <c r="AK804" s="171">
        <f t="shared" si="511"/>
        <v>0</v>
      </c>
      <c r="AL804" s="171"/>
      <c r="AM804" s="171"/>
      <c r="AN804" s="165"/>
      <c r="AO804" s="193"/>
      <c r="AP804" s="193" t="e">
        <f t="shared" ca="1" si="521"/>
        <v>#NAME?</v>
      </c>
      <c r="AQ804" s="200"/>
      <c r="AR804" s="204">
        <f t="shared" si="491"/>
        <v>0</v>
      </c>
      <c r="AS804" s="204"/>
      <c r="AT804" s="204">
        <f t="shared" si="492"/>
        <v>0</v>
      </c>
      <c r="AU804" s="204"/>
      <c r="AV804" s="204">
        <f t="shared" si="493"/>
        <v>0</v>
      </c>
    </row>
    <row r="805" spans="1:48" ht="12" customHeight="1">
      <c r="A805" s="53"/>
      <c r="B805" s="53"/>
      <c r="C805" s="53"/>
      <c r="D805" s="53"/>
      <c r="E805" s="53"/>
      <c r="F805" s="53"/>
      <c r="G805" s="53"/>
      <c r="H805" s="1">
        <v>148</v>
      </c>
      <c r="I805" s="397">
        <v>810</v>
      </c>
      <c r="J805" s="229">
        <v>3811</v>
      </c>
      <c r="K805" s="18" t="s">
        <v>653</v>
      </c>
      <c r="L805" s="130">
        <v>75000</v>
      </c>
      <c r="M805" s="130">
        <f>75000/7.5345</f>
        <v>9954.2106310969539</v>
      </c>
      <c r="N805" s="131"/>
      <c r="O805" s="131"/>
      <c r="P805" s="132"/>
      <c r="Q805" s="132"/>
      <c r="R805" s="159">
        <v>10600</v>
      </c>
      <c r="S805" s="165" t="e">
        <f ca="1">__xlfn.XLOOKUP(H805,[1]Izvršenje_proračuna_po_pozicija!$B$2:$B$153,[1]Izvršenje_proračuna_po_pozicija!$E$2:$E$153,0)</f>
        <v>#NAME?</v>
      </c>
      <c r="T805" s="165"/>
      <c r="U805" s="165"/>
      <c r="V805" s="200"/>
      <c r="W805" s="200"/>
      <c r="X805" s="164"/>
      <c r="Y805" s="378"/>
      <c r="Z805" s="378"/>
      <c r="AA805" s="370" t="e">
        <f t="shared" ca="1" si="522"/>
        <v>#NAME?</v>
      </c>
      <c r="AB805" s="183"/>
      <c r="AC805" s="178"/>
      <c r="AD805" s="178"/>
      <c r="AE805" s="178">
        <f t="shared" si="518"/>
        <v>0</v>
      </c>
      <c r="AF805" s="178"/>
      <c r="AG805" s="178"/>
      <c r="AH805" s="178"/>
      <c r="AI805" s="183"/>
      <c r="AJ805" s="378"/>
      <c r="AK805" s="171">
        <f t="shared" si="511"/>
        <v>0</v>
      </c>
      <c r="AL805" s="171"/>
      <c r="AM805" s="171"/>
      <c r="AN805" s="165"/>
      <c r="AO805" s="193"/>
      <c r="AP805" s="193" t="e">
        <f t="shared" ca="1" si="521"/>
        <v>#NAME?</v>
      </c>
      <c r="AQ805" s="200"/>
      <c r="AR805" s="204">
        <f t="shared" si="491"/>
        <v>0</v>
      </c>
      <c r="AS805" s="204"/>
      <c r="AT805" s="204">
        <f t="shared" si="492"/>
        <v>0</v>
      </c>
      <c r="AU805" s="204"/>
      <c r="AV805" s="204">
        <f t="shared" si="493"/>
        <v>0</v>
      </c>
    </row>
    <row r="806" spans="1:48" ht="12" customHeight="1">
      <c r="A806" s="53"/>
      <c r="B806" s="53"/>
      <c r="C806" s="53"/>
      <c r="D806" s="53"/>
      <c r="E806" s="53"/>
      <c r="F806" s="53"/>
      <c r="G806" s="53"/>
      <c r="H806" s="1">
        <v>149</v>
      </c>
      <c r="I806" s="397">
        <v>810</v>
      </c>
      <c r="J806" s="229">
        <v>3811</v>
      </c>
      <c r="K806" s="18" t="s">
        <v>654</v>
      </c>
      <c r="L806" s="130">
        <v>51000</v>
      </c>
      <c r="M806" s="130">
        <f>51000/7.5345</f>
        <v>6768.863229145928</v>
      </c>
      <c r="N806" s="131"/>
      <c r="O806" s="131"/>
      <c r="P806" s="132"/>
      <c r="Q806" s="132"/>
      <c r="R806" s="159">
        <v>11000</v>
      </c>
      <c r="S806" s="165" t="e">
        <f ca="1">__xlfn.XLOOKUP(H806,[1]Izvršenje_proračuna_po_pozicija!$B$2:$B$153,[1]Izvršenje_proračuna_po_pozicija!$E$2:$E$153,0)</f>
        <v>#NAME?</v>
      </c>
      <c r="T806" s="165"/>
      <c r="U806" s="165"/>
      <c r="V806" s="200"/>
      <c r="W806" s="200"/>
      <c r="X806" s="164"/>
      <c r="Y806" s="378"/>
      <c r="Z806" s="378"/>
      <c r="AA806" s="370" t="e">
        <f t="shared" ca="1" si="522"/>
        <v>#NAME?</v>
      </c>
      <c r="AB806" s="183"/>
      <c r="AC806" s="178"/>
      <c r="AD806" s="178"/>
      <c r="AE806" s="178">
        <f t="shared" si="518"/>
        <v>0</v>
      </c>
      <c r="AF806" s="178"/>
      <c r="AG806" s="178"/>
      <c r="AH806" s="178"/>
      <c r="AI806" s="183"/>
      <c r="AJ806" s="378"/>
      <c r="AK806" s="171">
        <f t="shared" si="511"/>
        <v>0</v>
      </c>
      <c r="AL806" s="171"/>
      <c r="AM806" s="171"/>
      <c r="AN806" s="165"/>
      <c r="AO806" s="193"/>
      <c r="AP806" s="193" t="e">
        <f t="shared" ca="1" si="521"/>
        <v>#NAME?</v>
      </c>
      <c r="AQ806" s="200"/>
      <c r="AR806" s="204">
        <f t="shared" si="491"/>
        <v>0</v>
      </c>
      <c r="AS806" s="204"/>
      <c r="AT806" s="204">
        <f t="shared" si="492"/>
        <v>0</v>
      </c>
      <c r="AU806" s="204"/>
      <c r="AV806" s="204">
        <f t="shared" si="493"/>
        <v>0</v>
      </c>
    </row>
    <row r="807" spans="1:48" ht="12" customHeight="1">
      <c r="A807" s="53"/>
      <c r="B807" s="53"/>
      <c r="C807" s="53"/>
      <c r="D807" s="53"/>
      <c r="E807" s="53"/>
      <c r="F807" s="53"/>
      <c r="G807" s="53"/>
      <c r="H807" s="1">
        <v>151</v>
      </c>
      <c r="I807" s="397">
        <v>810</v>
      </c>
      <c r="J807" s="229">
        <v>3811</v>
      </c>
      <c r="K807" s="18" t="s">
        <v>655</v>
      </c>
      <c r="L807" s="130">
        <v>10000</v>
      </c>
      <c r="M807" s="130">
        <f>10000/7.5345</f>
        <v>1327.2280841462605</v>
      </c>
      <c r="N807" s="131"/>
      <c r="O807" s="131"/>
      <c r="P807" s="132"/>
      <c r="Q807" s="132"/>
      <c r="R807" s="159">
        <v>3000</v>
      </c>
      <c r="S807" s="165" t="e">
        <f ca="1">__xlfn.XLOOKUP(H807,[1]Izvršenje_proračuna_po_pozicija!$B$2:$B$153,[1]Izvršenje_proračuna_po_pozicija!$E$2:$E$153,0)</f>
        <v>#NAME?</v>
      </c>
      <c r="T807" s="165"/>
      <c r="U807" s="165"/>
      <c r="V807" s="200"/>
      <c r="W807" s="200"/>
      <c r="X807" s="164"/>
      <c r="Y807" s="378"/>
      <c r="Z807" s="378"/>
      <c r="AA807" s="370" t="e">
        <f t="shared" ca="1" si="522"/>
        <v>#NAME?</v>
      </c>
      <c r="AB807" s="183"/>
      <c r="AC807" s="178"/>
      <c r="AD807" s="178"/>
      <c r="AE807" s="178">
        <f t="shared" si="518"/>
        <v>0</v>
      </c>
      <c r="AF807" s="178"/>
      <c r="AG807" s="178"/>
      <c r="AH807" s="178"/>
      <c r="AI807" s="183"/>
      <c r="AJ807" s="378"/>
      <c r="AK807" s="171">
        <f t="shared" si="511"/>
        <v>0</v>
      </c>
      <c r="AL807" s="171"/>
      <c r="AM807" s="171"/>
      <c r="AN807" s="165"/>
      <c r="AO807" s="193"/>
      <c r="AP807" s="193" t="e">
        <f t="shared" ca="1" si="521"/>
        <v>#NAME?</v>
      </c>
      <c r="AQ807" s="200"/>
      <c r="AR807" s="204">
        <f t="shared" si="491"/>
        <v>0</v>
      </c>
      <c r="AS807" s="204"/>
      <c r="AT807" s="204">
        <f t="shared" si="492"/>
        <v>0</v>
      </c>
      <c r="AU807" s="204"/>
      <c r="AV807" s="204">
        <f t="shared" si="493"/>
        <v>0</v>
      </c>
    </row>
    <row r="808" spans="1:48" ht="12" customHeight="1">
      <c r="A808" s="53"/>
      <c r="B808" s="53"/>
      <c r="C808" s="53"/>
      <c r="D808" s="53"/>
      <c r="E808" s="53"/>
      <c r="F808" s="53"/>
      <c r="G808" s="53"/>
      <c r="H808" s="1">
        <v>152</v>
      </c>
      <c r="I808" s="397">
        <v>810</v>
      </c>
      <c r="J808" s="229">
        <v>3811</v>
      </c>
      <c r="K808" s="18" t="s">
        <v>656</v>
      </c>
      <c r="L808" s="130">
        <v>17000</v>
      </c>
      <c r="M808" s="130">
        <f>17000/7.5345</f>
        <v>2256.2877430486428</v>
      </c>
      <c r="N808" s="131"/>
      <c r="O808" s="131"/>
      <c r="P808" s="132"/>
      <c r="Q808" s="132"/>
      <c r="R808" s="159">
        <v>3000</v>
      </c>
      <c r="S808" s="165" t="e">
        <f ca="1">__xlfn.XLOOKUP(H808,[1]Izvršenje_proračuna_po_pozicija!$B$2:$B$153,[1]Izvršenje_proračuna_po_pozicija!$E$2:$E$153,0)</f>
        <v>#NAME?</v>
      </c>
      <c r="T808" s="165"/>
      <c r="U808" s="165"/>
      <c r="V808" s="200"/>
      <c r="W808" s="200"/>
      <c r="X808" s="164"/>
      <c r="Y808" s="378"/>
      <c r="Z808" s="378"/>
      <c r="AA808" s="370" t="e">
        <f t="shared" ca="1" si="522"/>
        <v>#NAME?</v>
      </c>
      <c r="AB808" s="183"/>
      <c r="AC808" s="178"/>
      <c r="AD808" s="178"/>
      <c r="AE808" s="178">
        <f t="shared" si="518"/>
        <v>0</v>
      </c>
      <c r="AF808" s="178"/>
      <c r="AG808" s="178"/>
      <c r="AH808" s="178"/>
      <c r="AI808" s="183"/>
      <c r="AJ808" s="378"/>
      <c r="AK808" s="171">
        <f t="shared" si="511"/>
        <v>0</v>
      </c>
      <c r="AL808" s="171"/>
      <c r="AM808" s="171"/>
      <c r="AN808" s="165"/>
      <c r="AO808" s="193"/>
      <c r="AP808" s="193" t="e">
        <f t="shared" ca="1" si="521"/>
        <v>#NAME?</v>
      </c>
      <c r="AQ808" s="200"/>
      <c r="AR808" s="204">
        <f t="shared" si="491"/>
        <v>0</v>
      </c>
      <c r="AS808" s="204"/>
      <c r="AT808" s="204">
        <f t="shared" si="492"/>
        <v>0</v>
      </c>
      <c r="AU808" s="204"/>
      <c r="AV808" s="204">
        <f t="shared" si="493"/>
        <v>0</v>
      </c>
    </row>
    <row r="809" spans="1:48" ht="12" customHeight="1">
      <c r="A809" s="53"/>
      <c r="B809" s="53"/>
      <c r="C809" s="53"/>
      <c r="D809" s="53"/>
      <c r="E809" s="53"/>
      <c r="F809" s="53"/>
      <c r="G809" s="53"/>
      <c r="H809" s="1">
        <v>153</v>
      </c>
      <c r="I809" s="397">
        <v>810</v>
      </c>
      <c r="J809" s="229">
        <v>3811</v>
      </c>
      <c r="K809" s="18" t="s">
        <v>657</v>
      </c>
      <c r="L809" s="130">
        <v>15000</v>
      </c>
      <c r="M809" s="130">
        <f>15000/7.5345</f>
        <v>1990.8421262193906</v>
      </c>
      <c r="N809" s="131"/>
      <c r="O809" s="131"/>
      <c r="P809" s="132"/>
      <c r="Q809" s="132"/>
      <c r="R809" s="159">
        <v>3000</v>
      </c>
      <c r="S809" s="165" t="e">
        <f ca="1">__xlfn.XLOOKUP(H809,[1]Izvršenje_proračuna_po_pozicija!$B$2:$B$153,[1]Izvršenje_proračuna_po_pozicija!$E$2:$E$153,0)</f>
        <v>#NAME?</v>
      </c>
      <c r="T809" s="165"/>
      <c r="U809" s="165"/>
      <c r="V809" s="200"/>
      <c r="W809" s="200"/>
      <c r="X809" s="164"/>
      <c r="Y809" s="378"/>
      <c r="Z809" s="378"/>
      <c r="AA809" s="370" t="e">
        <f t="shared" ca="1" si="522"/>
        <v>#NAME?</v>
      </c>
      <c r="AB809" s="183"/>
      <c r="AC809" s="178"/>
      <c r="AD809" s="178"/>
      <c r="AE809" s="178">
        <f t="shared" si="518"/>
        <v>0</v>
      </c>
      <c r="AF809" s="178"/>
      <c r="AG809" s="178"/>
      <c r="AH809" s="178"/>
      <c r="AI809" s="183"/>
      <c r="AJ809" s="378"/>
      <c r="AK809" s="171">
        <f t="shared" si="511"/>
        <v>0</v>
      </c>
      <c r="AL809" s="171"/>
      <c r="AM809" s="171"/>
      <c r="AN809" s="165"/>
      <c r="AO809" s="193"/>
      <c r="AP809" s="193" t="e">
        <f t="shared" ca="1" si="521"/>
        <v>#NAME?</v>
      </c>
      <c r="AQ809" s="200"/>
      <c r="AR809" s="204">
        <f t="shared" si="491"/>
        <v>0</v>
      </c>
      <c r="AS809" s="204"/>
      <c r="AT809" s="204">
        <f t="shared" si="492"/>
        <v>0</v>
      </c>
      <c r="AU809" s="204"/>
      <c r="AV809" s="204">
        <f t="shared" si="493"/>
        <v>0</v>
      </c>
    </row>
    <row r="810" spans="1:48" ht="12" customHeight="1">
      <c r="A810" s="53"/>
      <c r="B810" s="53"/>
      <c r="C810" s="53"/>
      <c r="D810" s="53"/>
      <c r="E810" s="53"/>
      <c r="F810" s="53"/>
      <c r="G810" s="53"/>
      <c r="H810" s="1" t="s">
        <v>658</v>
      </c>
      <c r="I810" s="397">
        <v>810</v>
      </c>
      <c r="J810" s="229">
        <v>3811</v>
      </c>
      <c r="K810" s="18" t="s">
        <v>659</v>
      </c>
      <c r="L810" s="130">
        <v>28000</v>
      </c>
      <c r="M810" s="130">
        <f>28000/7.5345</f>
        <v>3716.2386356095294</v>
      </c>
      <c r="N810" s="131"/>
      <c r="O810" s="131"/>
      <c r="P810" s="132"/>
      <c r="Q810" s="132"/>
      <c r="R810" s="159">
        <v>5000</v>
      </c>
      <c r="S810" s="165" t="e">
        <f ca="1">__xlfn.XLOOKUP(H810,[1]Izvršenje_proračuna_po_pozicija!$B$2:$B$153,[1]Izvršenje_proračuna_po_pozicija!$E$2:$E$153,0)</f>
        <v>#NAME?</v>
      </c>
      <c r="T810" s="165"/>
      <c r="U810" s="165"/>
      <c r="V810" s="200">
        <v>57000</v>
      </c>
      <c r="W810" s="200">
        <v>57000</v>
      </c>
      <c r="X810" s="164">
        <v>72000</v>
      </c>
      <c r="Y810" s="378">
        <v>75000</v>
      </c>
      <c r="Z810" s="378"/>
      <c r="AA810" s="370" t="e">
        <f t="shared" ca="1" si="522"/>
        <v>#NAME?</v>
      </c>
      <c r="AB810" s="183"/>
      <c r="AC810" s="178"/>
      <c r="AD810" s="178"/>
      <c r="AE810" s="178">
        <f t="shared" si="518"/>
        <v>0</v>
      </c>
      <c r="AF810" s="178"/>
      <c r="AG810" s="178"/>
      <c r="AH810" s="178"/>
      <c r="AI810" s="183"/>
      <c r="AJ810" s="378">
        <v>75000</v>
      </c>
      <c r="AK810" s="171">
        <f t="shared" si="511"/>
        <v>1140</v>
      </c>
      <c r="AL810" s="171">
        <f t="shared" si="512"/>
        <v>126.31578947368421</v>
      </c>
      <c r="AM810" s="171">
        <f t="shared" si="512"/>
        <v>104.16666666666667</v>
      </c>
      <c r="AN810" s="165"/>
      <c r="AO810" s="193"/>
      <c r="AP810" s="193" t="e">
        <f t="shared" ca="1" si="521"/>
        <v>#NAME?</v>
      </c>
      <c r="AQ810" s="200">
        <v>57200</v>
      </c>
      <c r="AR810" s="204">
        <f t="shared" si="491"/>
        <v>1140</v>
      </c>
      <c r="AS810" s="204">
        <f>W810/V810*100</f>
        <v>100</v>
      </c>
      <c r="AT810" s="204">
        <f t="shared" si="492"/>
        <v>1140</v>
      </c>
      <c r="AU810" s="204">
        <f t="shared" ref="AU810:AU859" si="524">AQ810/W810*100</f>
        <v>100.35087719298245</v>
      </c>
      <c r="AV810" s="204">
        <f t="shared" si="493"/>
        <v>1144</v>
      </c>
    </row>
    <row r="811" spans="1:48" ht="12" customHeight="1">
      <c r="A811" s="53"/>
      <c r="B811" s="53"/>
      <c r="C811" s="53"/>
      <c r="D811" s="53"/>
      <c r="E811" s="53"/>
      <c r="F811" s="53"/>
      <c r="G811" s="53"/>
      <c r="H811" s="1"/>
      <c r="I811" s="397"/>
      <c r="J811" s="229"/>
      <c r="K811" s="18"/>
      <c r="L811" s="497"/>
      <c r="M811" s="497"/>
      <c r="N811" s="498"/>
      <c r="O811" s="498"/>
      <c r="P811" s="499"/>
      <c r="Q811" s="499"/>
      <c r="R811" s="501"/>
      <c r="S811" s="165" t="e">
        <f ca="1">__xlfn.XLOOKUP(H811,[1]Izvršenje_proračuna_po_pozicija!$B$2:$B$153,[1]Izvršenje_proračuna_po_pozicija!$E$2:$E$153,0)</f>
        <v>#NAME?</v>
      </c>
      <c r="T811" s="502"/>
      <c r="U811" s="502"/>
      <c r="V811" s="200"/>
      <c r="W811" s="200"/>
      <c r="X811" s="503"/>
      <c r="Y811" s="504"/>
      <c r="Z811" s="504"/>
      <c r="AA811" s="370" t="e">
        <f t="shared" ca="1" si="522"/>
        <v>#NAME?</v>
      </c>
      <c r="AB811" s="505"/>
      <c r="AC811" s="506"/>
      <c r="AD811" s="506"/>
      <c r="AE811" s="178"/>
      <c r="AF811" s="178"/>
      <c r="AG811" s="178"/>
      <c r="AH811" s="178"/>
      <c r="AI811" s="505"/>
      <c r="AJ811" s="504"/>
      <c r="AK811" s="171"/>
      <c r="AL811" s="171"/>
      <c r="AM811" s="171"/>
      <c r="AN811" s="502"/>
      <c r="AO811" s="193"/>
      <c r="AP811" s="193" t="e">
        <f t="shared" ca="1" si="521"/>
        <v>#NAME?</v>
      </c>
      <c r="AQ811" s="200"/>
      <c r="AR811" s="204"/>
      <c r="AS811" s="204"/>
      <c r="AT811" s="204"/>
      <c r="AU811" s="204"/>
      <c r="AV811" s="204"/>
    </row>
    <row r="812" spans="1:48" ht="12" customHeight="1">
      <c r="A812" s="390" t="s">
        <v>415</v>
      </c>
      <c r="B812" s="391"/>
      <c r="C812" s="391"/>
      <c r="D812" s="391"/>
      <c r="E812" s="391"/>
      <c r="F812" s="391"/>
      <c r="G812" s="391"/>
      <c r="H812" s="392"/>
      <c r="I812" s="485" t="s">
        <v>660</v>
      </c>
      <c r="J812" s="486"/>
      <c r="K812" s="124"/>
      <c r="L812" s="112">
        <f t="shared" ref="L812:S812" si="525">L814</f>
        <v>175000</v>
      </c>
      <c r="M812" s="112">
        <f t="shared" si="525"/>
        <v>23226.491472559559</v>
      </c>
      <c r="N812" s="113">
        <f t="shared" si="525"/>
        <v>20000</v>
      </c>
      <c r="O812" s="113">
        <f t="shared" si="525"/>
        <v>2654.4561682925209</v>
      </c>
      <c r="P812" s="114">
        <f t="shared" si="525"/>
        <v>60000</v>
      </c>
      <c r="Q812" s="114">
        <f t="shared" si="525"/>
        <v>75300</v>
      </c>
      <c r="R812" s="88">
        <f t="shared" si="525"/>
        <v>0</v>
      </c>
      <c r="S812" s="90" t="e">
        <f t="shared" ca="1" si="525"/>
        <v>#NAME?</v>
      </c>
      <c r="T812" s="90"/>
      <c r="U812" s="90"/>
      <c r="V812" s="200">
        <f>V814</f>
        <v>156000</v>
      </c>
      <c r="W812" s="200">
        <f>W814</f>
        <v>156000</v>
      </c>
      <c r="X812" s="88">
        <f>X814</f>
        <v>30000</v>
      </c>
      <c r="Y812" s="171">
        <f>Y814</f>
        <v>20000</v>
      </c>
      <c r="Z812" s="171">
        <f>Z814</f>
        <v>0</v>
      </c>
      <c r="AA812" s="370" t="e">
        <f t="shared" ca="1" si="522"/>
        <v>#NAME?</v>
      </c>
      <c r="AB812" s="171"/>
      <c r="AC812" s="172">
        <f>AC814</f>
        <v>60000</v>
      </c>
      <c r="AD812" s="172">
        <f>AD814</f>
        <v>60000</v>
      </c>
      <c r="AE812" s="178">
        <f>O812/M812*100</f>
        <v>11.428571428571429</v>
      </c>
      <c r="AF812" s="178"/>
      <c r="AG812" s="178"/>
      <c r="AH812" s="178"/>
      <c r="AI812" s="171"/>
      <c r="AJ812" s="171">
        <v>20000</v>
      </c>
      <c r="AK812" s="171"/>
      <c r="AL812" s="171">
        <f t="shared" si="512"/>
        <v>19.230769230769234</v>
      </c>
      <c r="AM812" s="171">
        <f t="shared" si="512"/>
        <v>66.666666666666657</v>
      </c>
      <c r="AN812" s="90"/>
      <c r="AO812" s="193"/>
      <c r="AP812" s="193" t="e">
        <f t="shared" ca="1" si="521"/>
        <v>#NAME?</v>
      </c>
      <c r="AQ812" s="200">
        <f>AQ814</f>
        <v>100000</v>
      </c>
      <c r="AR812" s="204"/>
      <c r="AS812" s="204">
        <f>W812/V812*100</f>
        <v>100</v>
      </c>
      <c r="AT812" s="204"/>
      <c r="AU812" s="204">
        <f t="shared" si="524"/>
        <v>64.102564102564102</v>
      </c>
      <c r="AV812" s="204"/>
    </row>
    <row r="813" spans="1:48" ht="12" customHeight="1">
      <c r="A813" s="42"/>
      <c r="B813" s="42"/>
      <c r="C813" s="42"/>
      <c r="D813" s="42"/>
      <c r="E813" s="42"/>
      <c r="F813" s="42"/>
      <c r="G813" s="42"/>
      <c r="H813" s="308"/>
      <c r="I813" s="14"/>
      <c r="J813" s="2"/>
      <c r="K813" s="84"/>
      <c r="L813" s="85"/>
      <c r="M813" s="85"/>
      <c r="N813" s="86"/>
      <c r="O813" s="86"/>
      <c r="P813" s="87"/>
      <c r="Q813" s="87"/>
      <c r="R813" s="160"/>
      <c r="S813" s="165" t="e">
        <f ca="1">__xlfn.XLOOKUP(H813,[1]Izvršenje_proračuna_po_pozicija!$B$2:$B$153,[1]Izvršenje_proračuna_po_pozicija!$E$2:$E$153,0)</f>
        <v>#NAME?</v>
      </c>
      <c r="T813" s="165"/>
      <c r="U813" s="165"/>
      <c r="V813" s="200"/>
      <c r="W813" s="200"/>
      <c r="X813" s="361"/>
      <c r="Y813" s="373"/>
      <c r="Z813" s="373"/>
      <c r="AA813" s="370" t="e">
        <f t="shared" ca="1" si="522"/>
        <v>#NAME?</v>
      </c>
      <c r="AB813" s="181"/>
      <c r="AC813" s="182"/>
      <c r="AD813" s="182"/>
      <c r="AE813" s="178"/>
      <c r="AF813" s="178"/>
      <c r="AG813" s="178"/>
      <c r="AH813" s="178"/>
      <c r="AI813" s="181"/>
      <c r="AJ813" s="373"/>
      <c r="AK813" s="171"/>
      <c r="AL813" s="171"/>
      <c r="AM813" s="171"/>
      <c r="AN813" s="161"/>
      <c r="AO813" s="193"/>
      <c r="AP813" s="193" t="e">
        <f t="shared" ca="1" si="521"/>
        <v>#NAME?</v>
      </c>
      <c r="AQ813" s="200"/>
      <c r="AR813" s="204"/>
      <c r="AS813" s="204"/>
      <c r="AT813" s="204"/>
      <c r="AU813" s="204"/>
      <c r="AV813" s="204"/>
    </row>
    <row r="814" spans="1:48" ht="12" customHeight="1">
      <c r="A814" s="24"/>
      <c r="B814" s="24"/>
      <c r="C814" s="24"/>
      <c r="D814" s="24"/>
      <c r="E814" s="24"/>
      <c r="F814" s="24"/>
      <c r="G814" s="24"/>
      <c r="H814" s="393"/>
      <c r="I814" s="465"/>
      <c r="J814" s="281">
        <v>3</v>
      </c>
      <c r="K814" s="2" t="s">
        <v>224</v>
      </c>
      <c r="L814" s="112">
        <f t="shared" ref="L814:AD815" si="526">L815</f>
        <v>175000</v>
      </c>
      <c r="M814" s="112">
        <f t="shared" si="526"/>
        <v>23226.491472559559</v>
      </c>
      <c r="N814" s="113">
        <f t="shared" si="526"/>
        <v>20000</v>
      </c>
      <c r="O814" s="113">
        <f t="shared" si="526"/>
        <v>2654.4561682925209</v>
      </c>
      <c r="P814" s="114">
        <f t="shared" si="526"/>
        <v>60000</v>
      </c>
      <c r="Q814" s="114">
        <f t="shared" si="526"/>
        <v>75300</v>
      </c>
      <c r="R814" s="88">
        <f t="shared" si="526"/>
        <v>0</v>
      </c>
      <c r="S814" s="90" t="e">
        <f t="shared" ca="1" si="526"/>
        <v>#NAME?</v>
      </c>
      <c r="T814" s="90"/>
      <c r="U814" s="90"/>
      <c r="V814" s="200">
        <f>V815</f>
        <v>156000</v>
      </c>
      <c r="W814" s="200">
        <f t="shared" si="526"/>
        <v>156000</v>
      </c>
      <c r="X814" s="88">
        <f t="shared" si="526"/>
        <v>30000</v>
      </c>
      <c r="Y814" s="171">
        <f t="shared" si="526"/>
        <v>20000</v>
      </c>
      <c r="Z814" s="171">
        <f t="shared" si="526"/>
        <v>0</v>
      </c>
      <c r="AA814" s="370" t="e">
        <f t="shared" ca="1" si="522"/>
        <v>#NAME?</v>
      </c>
      <c r="AB814" s="171"/>
      <c r="AC814" s="172">
        <f t="shared" si="526"/>
        <v>60000</v>
      </c>
      <c r="AD814" s="172">
        <f t="shared" si="526"/>
        <v>60000</v>
      </c>
      <c r="AE814" s="178">
        <f>O814/M814*100</f>
        <v>11.428571428571429</v>
      </c>
      <c r="AF814" s="178"/>
      <c r="AG814" s="178"/>
      <c r="AH814" s="178"/>
      <c r="AI814" s="171"/>
      <c r="AJ814" s="171">
        <v>20000</v>
      </c>
      <c r="AK814" s="171"/>
      <c r="AL814" s="171">
        <f t="shared" si="512"/>
        <v>19.230769230769234</v>
      </c>
      <c r="AM814" s="171">
        <f t="shared" si="512"/>
        <v>66.666666666666657</v>
      </c>
      <c r="AN814" s="90"/>
      <c r="AO814" s="193"/>
      <c r="AP814" s="193" t="e">
        <f t="shared" ca="1" si="521"/>
        <v>#NAME?</v>
      </c>
      <c r="AQ814" s="200">
        <f>AQ815</f>
        <v>100000</v>
      </c>
      <c r="AR814" s="204"/>
      <c r="AS814" s="204">
        <f>W814/V814*100</f>
        <v>100</v>
      </c>
      <c r="AT814" s="204"/>
      <c r="AU814" s="204">
        <f t="shared" si="524"/>
        <v>64.102564102564102</v>
      </c>
      <c r="AV814" s="204"/>
    </row>
    <row r="815" spans="1:48" ht="12" customHeight="1">
      <c r="A815" s="301"/>
      <c r="B815" s="301"/>
      <c r="C815" s="301"/>
      <c r="D815" s="301"/>
      <c r="E815" s="301"/>
      <c r="F815" s="301"/>
      <c r="G815" s="301"/>
      <c r="H815" s="307"/>
      <c r="I815" s="350"/>
      <c r="J815" s="302">
        <v>38</v>
      </c>
      <c r="K815" s="343" t="s">
        <v>233</v>
      </c>
      <c r="L815" s="112">
        <f t="shared" si="526"/>
        <v>175000</v>
      </c>
      <c r="M815" s="112">
        <f t="shared" si="526"/>
        <v>23226.491472559559</v>
      </c>
      <c r="N815" s="113">
        <f t="shared" si="526"/>
        <v>20000</v>
      </c>
      <c r="O815" s="113">
        <f t="shared" si="526"/>
        <v>2654.4561682925209</v>
      </c>
      <c r="P815" s="114">
        <f t="shared" si="526"/>
        <v>60000</v>
      </c>
      <c r="Q815" s="114">
        <f t="shared" si="526"/>
        <v>75300</v>
      </c>
      <c r="R815" s="88">
        <f t="shared" si="526"/>
        <v>0</v>
      </c>
      <c r="S815" s="90" t="e">
        <f t="shared" ca="1" si="526"/>
        <v>#NAME?</v>
      </c>
      <c r="T815" s="90"/>
      <c r="U815" s="90"/>
      <c r="V815" s="200">
        <f>V816</f>
        <v>156000</v>
      </c>
      <c r="W815" s="200">
        <f t="shared" si="526"/>
        <v>156000</v>
      </c>
      <c r="X815" s="88">
        <f t="shared" si="526"/>
        <v>30000</v>
      </c>
      <c r="Y815" s="171">
        <f t="shared" si="526"/>
        <v>20000</v>
      </c>
      <c r="Z815" s="171">
        <f t="shared" si="526"/>
        <v>0</v>
      </c>
      <c r="AA815" s="370" t="e">
        <f t="shared" ca="1" si="522"/>
        <v>#NAME?</v>
      </c>
      <c r="AB815" s="171"/>
      <c r="AC815" s="172">
        <f t="shared" si="526"/>
        <v>60000</v>
      </c>
      <c r="AD815" s="172">
        <f t="shared" si="526"/>
        <v>60000</v>
      </c>
      <c r="AE815" s="178">
        <f>O815/M815*100</f>
        <v>11.428571428571429</v>
      </c>
      <c r="AF815" s="178"/>
      <c r="AG815" s="178"/>
      <c r="AH815" s="178"/>
      <c r="AI815" s="171"/>
      <c r="AJ815" s="171">
        <v>20000</v>
      </c>
      <c r="AK815" s="171"/>
      <c r="AL815" s="171">
        <f t="shared" si="512"/>
        <v>19.230769230769234</v>
      </c>
      <c r="AM815" s="171">
        <f t="shared" si="512"/>
        <v>66.666666666666657</v>
      </c>
      <c r="AN815" s="90"/>
      <c r="AO815" s="193"/>
      <c r="AP815" s="193" t="e">
        <f t="shared" ca="1" si="521"/>
        <v>#NAME?</v>
      </c>
      <c r="AQ815" s="200">
        <f>AQ816</f>
        <v>100000</v>
      </c>
      <c r="AR815" s="204"/>
      <c r="AS815" s="204">
        <f>W815/V815*100</f>
        <v>100</v>
      </c>
      <c r="AT815" s="204"/>
      <c r="AU815" s="204">
        <f t="shared" si="524"/>
        <v>64.102564102564102</v>
      </c>
      <c r="AV815" s="204"/>
    </row>
    <row r="816" spans="1:48" ht="12" customHeight="1">
      <c r="A816" s="62"/>
      <c r="B816" s="62"/>
      <c r="C816" s="62"/>
      <c r="D816" s="62"/>
      <c r="E816" s="62"/>
      <c r="F816" s="62"/>
      <c r="G816" s="62"/>
      <c r="H816" s="304"/>
      <c r="I816" s="464"/>
      <c r="J816" s="303">
        <v>386</v>
      </c>
      <c r="K816" s="19" t="s">
        <v>356</v>
      </c>
      <c r="L816" s="112">
        <f t="shared" ref="L816:S816" si="527">L818</f>
        <v>175000</v>
      </c>
      <c r="M816" s="112">
        <f t="shared" si="527"/>
        <v>23226.491472559559</v>
      </c>
      <c r="N816" s="113">
        <f t="shared" si="527"/>
        <v>20000</v>
      </c>
      <c r="O816" s="113">
        <f t="shared" si="527"/>
        <v>2654.4561682925209</v>
      </c>
      <c r="P816" s="114">
        <f t="shared" si="527"/>
        <v>60000</v>
      </c>
      <c r="Q816" s="114">
        <f t="shared" si="527"/>
        <v>75300</v>
      </c>
      <c r="R816" s="88">
        <f t="shared" si="527"/>
        <v>0</v>
      </c>
      <c r="S816" s="90" t="e">
        <f t="shared" ca="1" si="527"/>
        <v>#NAME?</v>
      </c>
      <c r="T816" s="90"/>
      <c r="U816" s="90"/>
      <c r="V816" s="200">
        <f>V818</f>
        <v>156000</v>
      </c>
      <c r="W816" s="200">
        <f>W818</f>
        <v>156000</v>
      </c>
      <c r="X816" s="88">
        <f>X818</f>
        <v>30000</v>
      </c>
      <c r="Y816" s="171">
        <f>Y818</f>
        <v>20000</v>
      </c>
      <c r="Z816" s="171">
        <f>Z818</f>
        <v>0</v>
      </c>
      <c r="AA816" s="370" t="e">
        <f t="shared" ca="1" si="522"/>
        <v>#NAME?</v>
      </c>
      <c r="AB816" s="171"/>
      <c r="AC816" s="172">
        <f>AC818</f>
        <v>60000</v>
      </c>
      <c r="AD816" s="172">
        <f>AD818</f>
        <v>60000</v>
      </c>
      <c r="AE816" s="178">
        <f>O816/M816*100</f>
        <v>11.428571428571429</v>
      </c>
      <c r="AF816" s="178"/>
      <c r="AG816" s="178"/>
      <c r="AH816" s="178"/>
      <c r="AI816" s="171"/>
      <c r="AJ816" s="171">
        <v>20000</v>
      </c>
      <c r="AK816" s="171"/>
      <c r="AL816" s="171">
        <f t="shared" si="512"/>
        <v>19.230769230769234</v>
      </c>
      <c r="AM816" s="171">
        <f t="shared" si="512"/>
        <v>66.666666666666657</v>
      </c>
      <c r="AN816" s="90"/>
      <c r="AO816" s="193"/>
      <c r="AP816" s="193" t="e">
        <f t="shared" ca="1" si="521"/>
        <v>#NAME?</v>
      </c>
      <c r="AQ816" s="200">
        <f>AQ818</f>
        <v>100000</v>
      </c>
      <c r="AR816" s="204"/>
      <c r="AS816" s="204">
        <f>W816/V816*100</f>
        <v>100</v>
      </c>
      <c r="AT816" s="204"/>
      <c r="AU816" s="204">
        <f t="shared" si="524"/>
        <v>64.102564102564102</v>
      </c>
      <c r="AV816" s="204"/>
    </row>
    <row r="817" spans="1:48" ht="12" customHeight="1">
      <c r="A817" s="42"/>
      <c r="B817" s="42"/>
      <c r="C817" s="42"/>
      <c r="D817" s="42"/>
      <c r="E817" s="42"/>
      <c r="F817" s="42"/>
      <c r="G817" s="42"/>
      <c r="H817" s="308"/>
      <c r="I817" s="14"/>
      <c r="J817" s="2"/>
      <c r="K817" s="84"/>
      <c r="L817" s="85">
        <v>1</v>
      </c>
      <c r="M817" s="85">
        <v>2</v>
      </c>
      <c r="N817" s="86">
        <v>3</v>
      </c>
      <c r="O817" s="86">
        <v>4</v>
      </c>
      <c r="P817" s="87">
        <v>5</v>
      </c>
      <c r="Q817" s="87">
        <v>6</v>
      </c>
      <c r="R817" s="160"/>
      <c r="S817" s="165" t="e">
        <f ca="1">__xlfn.XLOOKUP(H817,[1]Izvršenje_proračuna_po_pozicija!$B$2:$B$153,[1]Izvršenje_proračuna_po_pozicija!$E$2:$E$153,0)</f>
        <v>#NAME?</v>
      </c>
      <c r="T817" s="165"/>
      <c r="U817" s="165"/>
      <c r="V817" s="200"/>
      <c r="W817" s="200"/>
      <c r="X817" s="361"/>
      <c r="Y817" s="373"/>
      <c r="Z817" s="373"/>
      <c r="AA817" s="370" t="e">
        <f t="shared" ca="1" si="522"/>
        <v>#NAME?</v>
      </c>
      <c r="AB817" s="181"/>
      <c r="AC817" s="182">
        <v>7</v>
      </c>
      <c r="AD817" s="182">
        <v>8</v>
      </c>
      <c r="AE817" s="182">
        <v>9</v>
      </c>
      <c r="AF817" s="182">
        <v>10</v>
      </c>
      <c r="AG817" s="182">
        <v>11</v>
      </c>
      <c r="AH817" s="182">
        <v>12</v>
      </c>
      <c r="AI817" s="181"/>
      <c r="AJ817" s="373"/>
      <c r="AK817" s="171"/>
      <c r="AL817" s="171"/>
      <c r="AM817" s="171"/>
      <c r="AN817" s="161"/>
      <c r="AO817" s="460"/>
      <c r="AP817" s="193" t="e">
        <f t="shared" ca="1" si="521"/>
        <v>#NAME?</v>
      </c>
      <c r="AQ817" s="200"/>
      <c r="AR817" s="204"/>
      <c r="AS817" s="204"/>
      <c r="AT817" s="204"/>
      <c r="AU817" s="204"/>
      <c r="AV817" s="204"/>
    </row>
    <row r="818" spans="1:48" ht="12" customHeight="1">
      <c r="A818" s="53"/>
      <c r="B818" s="53"/>
      <c r="C818" s="53"/>
      <c r="D818" s="53"/>
      <c r="E818" s="53"/>
      <c r="F818" s="53"/>
      <c r="G818" s="53"/>
      <c r="H818" s="1">
        <v>156</v>
      </c>
      <c r="I818" s="345">
        <v>810</v>
      </c>
      <c r="J818" s="229">
        <v>3861</v>
      </c>
      <c r="K818" s="18" t="s">
        <v>661</v>
      </c>
      <c r="L818" s="130">
        <v>175000</v>
      </c>
      <c r="M818" s="130">
        <f>175000/7.5345</f>
        <v>23226.491472559559</v>
      </c>
      <c r="N818" s="131">
        <v>20000</v>
      </c>
      <c r="O818" s="131">
        <f>N818/7.5345</f>
        <v>2654.4561682925209</v>
      </c>
      <c r="P818" s="132">
        <f>P819+P820</f>
        <v>60000</v>
      </c>
      <c r="Q818" s="163">
        <f>Q819+Q820</f>
        <v>75300</v>
      </c>
      <c r="R818" s="159">
        <v>0</v>
      </c>
      <c r="S818" s="165" t="e">
        <f ca="1">__xlfn.XLOOKUP(H818,[1]Izvršenje_proračuna_po_pozicija!$B$2:$B$153,[1]Izvršenje_proračuna_po_pozicija!$E$2:$E$153,0)</f>
        <v>#NAME?</v>
      </c>
      <c r="T818" s="165"/>
      <c r="U818" s="165"/>
      <c r="V818" s="200">
        <v>156000</v>
      </c>
      <c r="W818" s="200">
        <v>156000</v>
      </c>
      <c r="X818" s="164">
        <v>30000</v>
      </c>
      <c r="Y818" s="378">
        <v>20000</v>
      </c>
      <c r="Z818" s="378"/>
      <c r="AA818" s="370" t="e">
        <f t="shared" ca="1" si="522"/>
        <v>#NAME?</v>
      </c>
      <c r="AB818" s="183"/>
      <c r="AC818" s="178">
        <v>60000</v>
      </c>
      <c r="AD818" s="178">
        <v>60000</v>
      </c>
      <c r="AE818" s="178">
        <f>O818/M818*100</f>
        <v>11.428571428571429</v>
      </c>
      <c r="AF818" s="178"/>
      <c r="AG818" s="178"/>
      <c r="AH818" s="178"/>
      <c r="AI818" s="183"/>
      <c r="AJ818" s="378">
        <v>20000</v>
      </c>
      <c r="AK818" s="171"/>
      <c r="AL818" s="171">
        <f t="shared" si="512"/>
        <v>19.230769230769234</v>
      </c>
      <c r="AM818" s="171">
        <f t="shared" si="512"/>
        <v>66.666666666666657</v>
      </c>
      <c r="AN818" s="165"/>
      <c r="AO818" s="460"/>
      <c r="AP818" s="193" t="e">
        <f t="shared" ca="1" si="521"/>
        <v>#NAME?</v>
      </c>
      <c r="AQ818" s="200">
        <v>100000</v>
      </c>
      <c r="AR818" s="204"/>
      <c r="AS818" s="204">
        <f>W818/V818*100</f>
        <v>100</v>
      </c>
      <c r="AT818" s="204"/>
      <c r="AU818" s="204">
        <f t="shared" si="524"/>
        <v>64.102564102564102</v>
      </c>
      <c r="AV818" s="204"/>
    </row>
    <row r="819" spans="1:48" ht="12" customHeight="1">
      <c r="A819" s="53"/>
      <c r="B819" s="53"/>
      <c r="C819" s="53"/>
      <c r="D819" s="53"/>
      <c r="E819" s="53"/>
      <c r="F819" s="53"/>
      <c r="G819" s="53"/>
      <c r="H819" s="1"/>
      <c r="I819" s="345"/>
      <c r="J819" s="229"/>
      <c r="K819" s="18" t="s">
        <v>662</v>
      </c>
      <c r="L819" s="130"/>
      <c r="M819" s="130"/>
      <c r="N819" s="131"/>
      <c r="O819" s="131"/>
      <c r="P819" s="132">
        <v>30000</v>
      </c>
      <c r="Q819" s="132">
        <v>75300</v>
      </c>
      <c r="R819" s="159">
        <v>0</v>
      </c>
      <c r="S819" s="165" t="e">
        <f ca="1">__xlfn.XLOOKUP(H819,[1]Izvršenje_proračuna_po_pozicija!$B$2:$B$153,[1]Izvršenje_proračuna_po_pozicija!$E$2:$E$153,0)</f>
        <v>#NAME?</v>
      </c>
      <c r="T819" s="165"/>
      <c r="U819" s="165"/>
      <c r="V819" s="200"/>
      <c r="W819" s="200"/>
      <c r="X819" s="164"/>
      <c r="Y819" s="378"/>
      <c r="Z819" s="378"/>
      <c r="AA819" s="370" t="e">
        <f t="shared" ca="1" si="522"/>
        <v>#NAME?</v>
      </c>
      <c r="AB819" s="183"/>
      <c r="AC819" s="178"/>
      <c r="AD819" s="178"/>
      <c r="AE819" s="178"/>
      <c r="AF819" s="178"/>
      <c r="AG819" s="178"/>
      <c r="AH819" s="178"/>
      <c r="AI819" s="183"/>
      <c r="AJ819" s="378"/>
      <c r="AK819" s="171"/>
      <c r="AL819" s="171"/>
      <c r="AM819" s="171"/>
      <c r="AN819" s="165"/>
      <c r="AO819" s="460"/>
      <c r="AP819" s="193" t="e">
        <f t="shared" ca="1" si="521"/>
        <v>#NAME?</v>
      </c>
      <c r="AQ819" s="200"/>
      <c r="AR819" s="204"/>
      <c r="AS819" s="204"/>
      <c r="AT819" s="204"/>
      <c r="AU819" s="204"/>
      <c r="AV819" s="204"/>
    </row>
    <row r="820" spans="1:48" ht="12" customHeight="1">
      <c r="A820" s="53"/>
      <c r="B820" s="53"/>
      <c r="C820" s="53"/>
      <c r="D820" s="53"/>
      <c r="E820" s="53"/>
      <c r="F820" s="53"/>
      <c r="G820" s="53"/>
      <c r="H820" s="1"/>
      <c r="I820" s="345"/>
      <c r="J820" s="229"/>
      <c r="K820" s="18" t="s">
        <v>663</v>
      </c>
      <c r="L820" s="130"/>
      <c r="M820" s="130"/>
      <c r="N820" s="131"/>
      <c r="O820" s="131"/>
      <c r="P820" s="132">
        <v>30000</v>
      </c>
      <c r="Q820" s="132">
        <v>0</v>
      </c>
      <c r="R820" s="159">
        <v>0</v>
      </c>
      <c r="S820" s="165" t="e">
        <f ca="1">__xlfn.XLOOKUP(H820,[1]Izvršenje_proračuna_po_pozicija!$B$2:$B$153,[1]Izvršenje_proračuna_po_pozicija!$E$2:$E$153,0)</f>
        <v>#NAME?</v>
      </c>
      <c r="T820" s="165"/>
      <c r="U820" s="165"/>
      <c r="V820" s="200"/>
      <c r="W820" s="200"/>
      <c r="X820" s="164"/>
      <c r="Y820" s="378"/>
      <c r="Z820" s="378"/>
      <c r="AA820" s="370" t="e">
        <f t="shared" ca="1" si="522"/>
        <v>#NAME?</v>
      </c>
      <c r="AB820" s="183"/>
      <c r="AC820" s="178"/>
      <c r="AD820" s="178"/>
      <c r="AE820" s="178"/>
      <c r="AF820" s="178"/>
      <c r="AG820" s="178"/>
      <c r="AH820" s="178"/>
      <c r="AI820" s="183"/>
      <c r="AJ820" s="378"/>
      <c r="AK820" s="171"/>
      <c r="AL820" s="171"/>
      <c r="AM820" s="171"/>
      <c r="AN820" s="165"/>
      <c r="AO820" s="193"/>
      <c r="AP820" s="193" t="e">
        <f t="shared" ca="1" si="521"/>
        <v>#NAME?</v>
      </c>
      <c r="AQ820" s="200"/>
      <c r="AR820" s="204"/>
      <c r="AS820" s="204"/>
      <c r="AT820" s="204"/>
      <c r="AU820" s="204"/>
      <c r="AV820" s="204"/>
    </row>
    <row r="821" spans="1:48" ht="12" customHeight="1">
      <c r="A821" s="437"/>
      <c r="B821" s="437"/>
      <c r="C821" s="437"/>
      <c r="D821" s="437"/>
      <c r="E821" s="437"/>
      <c r="F821" s="437"/>
      <c r="G821" s="437"/>
      <c r="H821" s="438"/>
      <c r="I821" s="489" t="s">
        <v>664</v>
      </c>
      <c r="J821" s="490"/>
      <c r="K821" s="127"/>
      <c r="L821" s="112">
        <f t="shared" ref="L821:S821" si="528">L822+L830+L845+L854</f>
        <v>699707</v>
      </c>
      <c r="M821" s="112">
        <f t="shared" si="528"/>
        <v>92867.078107372727</v>
      </c>
      <c r="N821" s="113">
        <f t="shared" si="528"/>
        <v>676138</v>
      </c>
      <c r="O821" s="113">
        <f t="shared" si="528"/>
        <v>89738.934235848414</v>
      </c>
      <c r="P821" s="114">
        <f t="shared" si="528"/>
        <v>110099.50892560887</v>
      </c>
      <c r="Q821" s="114">
        <f t="shared" si="528"/>
        <v>196000</v>
      </c>
      <c r="R821" s="88">
        <f t="shared" si="528"/>
        <v>169433</v>
      </c>
      <c r="S821" s="90" t="e">
        <f t="shared" ca="1" si="528"/>
        <v>#NAME?</v>
      </c>
      <c r="T821" s="90"/>
      <c r="U821" s="90"/>
      <c r="V821" s="200">
        <f>V822+V830+V845+V854</f>
        <v>211700</v>
      </c>
      <c r="W821" s="200">
        <f>W822+W830+W845+W854</f>
        <v>248773</v>
      </c>
      <c r="X821" s="88">
        <f>X822+X830+X845+X854</f>
        <v>211500</v>
      </c>
      <c r="Y821" s="171" t="e">
        <f ca="1">Y822+Y830+Y845+Y854</f>
        <v>#NAME?</v>
      </c>
      <c r="Z821" s="171" t="e">
        <f ca="1">Z822+Z830+Z845+Z854</f>
        <v>#NAME?</v>
      </c>
      <c r="AA821" s="370" t="e">
        <f t="shared" ca="1" si="522"/>
        <v>#NAME?</v>
      </c>
      <c r="AB821" s="171"/>
      <c r="AC821" s="172">
        <f>AC822+AC830+AC845+AC854</f>
        <v>109500</v>
      </c>
      <c r="AD821" s="172">
        <f>AD822+AD830+AD845+AD854</f>
        <v>109500</v>
      </c>
      <c r="AE821" s="178">
        <f>O821/M821*100</f>
        <v>96.631590079847712</v>
      </c>
      <c r="AF821" s="178">
        <f>P821/O821*100</f>
        <v>122.6886745013592</v>
      </c>
      <c r="AG821" s="178">
        <f>Q821/P821*100</f>
        <v>178.02077585326168</v>
      </c>
      <c r="AH821" s="178">
        <f>AC821/Q821*100</f>
        <v>55.867346938775512</v>
      </c>
      <c r="AI821" s="171"/>
      <c r="AJ821" s="171">
        <v>232000</v>
      </c>
      <c r="AK821" s="171">
        <f t="shared" si="511"/>
        <v>146.82676928343358</v>
      </c>
      <c r="AL821" s="171">
        <f t="shared" si="512"/>
        <v>85.01726473532095</v>
      </c>
      <c r="AM821" s="171" t="e">
        <f t="shared" ca="1" si="512"/>
        <v>#NAME?</v>
      </c>
      <c r="AN821" s="90"/>
      <c r="AO821" s="193"/>
      <c r="AP821" s="193" t="e">
        <f t="shared" ca="1" si="521"/>
        <v>#NAME?</v>
      </c>
      <c r="AQ821" s="200">
        <f>AQ822+AQ830+AQ845+AQ854</f>
        <v>240572.16</v>
      </c>
      <c r="AR821" s="204">
        <f t="shared" ref="AR821:AR884" si="529">V821/R821*100</f>
        <v>124.94614390348988</v>
      </c>
      <c r="AS821" s="204">
        <f>W821/V821*100</f>
        <v>117.51204534718941</v>
      </c>
      <c r="AT821" s="204">
        <f t="shared" ref="AT821:AT884" si="530">W821/R821*100</f>
        <v>146.82676928343358</v>
      </c>
      <c r="AU821" s="204">
        <f t="shared" si="524"/>
        <v>96.703484702921941</v>
      </c>
      <c r="AV821" s="204">
        <f t="shared" ref="AV821:AV884" si="531">AQ821/R821*100</f>
        <v>141.98660237379968</v>
      </c>
    </row>
    <row r="822" spans="1:48" ht="12" customHeight="1">
      <c r="A822" s="390" t="s">
        <v>331</v>
      </c>
      <c r="B822" s="391"/>
      <c r="C822" s="391"/>
      <c r="D822" s="391"/>
      <c r="E822" s="391"/>
      <c r="F822" s="391"/>
      <c r="G822" s="391"/>
      <c r="H822" s="435"/>
      <c r="I822" s="482" t="s">
        <v>665</v>
      </c>
      <c r="J822" s="483"/>
      <c r="K822" s="484"/>
      <c r="L822" s="335">
        <f t="shared" ref="L822:S822" si="532">L824</f>
        <v>54250</v>
      </c>
      <c r="M822" s="335">
        <f t="shared" si="532"/>
        <v>7200.2123564934627</v>
      </c>
      <c r="N822" s="336">
        <f t="shared" si="532"/>
        <v>15000</v>
      </c>
      <c r="O822" s="336">
        <f t="shared" si="532"/>
        <v>1990.8421262193906</v>
      </c>
      <c r="P822" s="337">
        <f t="shared" si="532"/>
        <v>4800</v>
      </c>
      <c r="Q822" s="337">
        <f t="shared" si="532"/>
        <v>5600</v>
      </c>
      <c r="R822" s="359">
        <f t="shared" si="532"/>
        <v>3185</v>
      </c>
      <c r="S822" s="360" t="e">
        <f t="shared" ca="1" si="532"/>
        <v>#NAME?</v>
      </c>
      <c r="T822" s="360"/>
      <c r="U822" s="360"/>
      <c r="V822" s="200">
        <f>V824</f>
        <v>1800</v>
      </c>
      <c r="W822" s="200">
        <f>W824</f>
        <v>5176</v>
      </c>
      <c r="X822" s="359">
        <f>X824</f>
        <v>0</v>
      </c>
      <c r="Y822" s="371">
        <f>Y824</f>
        <v>0</v>
      </c>
      <c r="Z822" s="371">
        <f>Z824</f>
        <v>0</v>
      </c>
      <c r="AA822" s="370" t="e">
        <f t="shared" ca="1" si="522"/>
        <v>#NAME?</v>
      </c>
      <c r="AB822" s="371"/>
      <c r="AC822" s="372">
        <f>AC824</f>
        <v>0</v>
      </c>
      <c r="AD822" s="372">
        <f>AD824</f>
        <v>0</v>
      </c>
      <c r="AE822" s="178">
        <f>O822/M822*100</f>
        <v>27.649769585253459</v>
      </c>
      <c r="AF822" s="178"/>
      <c r="AG822" s="178"/>
      <c r="AH822" s="178"/>
      <c r="AI822" s="371"/>
      <c r="AJ822" s="371">
        <v>0</v>
      </c>
      <c r="AK822" s="171">
        <f t="shared" si="511"/>
        <v>162.51177394034536</v>
      </c>
      <c r="AL822" s="171">
        <f t="shared" si="512"/>
        <v>0</v>
      </c>
      <c r="AM822" s="171"/>
      <c r="AN822" s="360"/>
      <c r="AO822" s="193"/>
      <c r="AP822" s="193" t="e">
        <f t="shared" ca="1" si="521"/>
        <v>#NAME?</v>
      </c>
      <c r="AQ822" s="200">
        <f>AQ824</f>
        <v>5176.21</v>
      </c>
      <c r="AR822" s="204">
        <f t="shared" si="529"/>
        <v>56.514913657770805</v>
      </c>
      <c r="AS822" s="204">
        <f>W822/V822*100</f>
        <v>287.55555555555554</v>
      </c>
      <c r="AT822" s="204">
        <f t="shared" si="530"/>
        <v>162.51177394034536</v>
      </c>
      <c r="AU822" s="204">
        <f t="shared" si="524"/>
        <v>100.004057187017</v>
      </c>
      <c r="AV822" s="204">
        <f t="shared" si="531"/>
        <v>162.51836734693879</v>
      </c>
    </row>
    <row r="823" spans="1:48" ht="12" customHeight="1">
      <c r="A823" s="42"/>
      <c r="B823" s="42"/>
      <c r="C823" s="42"/>
      <c r="D823" s="42"/>
      <c r="E823" s="42"/>
      <c r="F823" s="42"/>
      <c r="G823" s="42"/>
      <c r="H823" s="308"/>
      <c r="I823" s="14"/>
      <c r="J823" s="2"/>
      <c r="K823" s="84"/>
      <c r="L823" s="85"/>
      <c r="M823" s="85"/>
      <c r="N823" s="86"/>
      <c r="O823" s="86"/>
      <c r="P823" s="87"/>
      <c r="Q823" s="87"/>
      <c r="R823" s="160"/>
      <c r="S823" s="165" t="e">
        <f ca="1">__xlfn.XLOOKUP(H823,[1]Izvršenje_proračuna_po_pozicija!$B$2:$B$153,[1]Izvršenje_proračuna_po_pozicija!$E$2:$E$153,0)</f>
        <v>#NAME?</v>
      </c>
      <c r="T823" s="165"/>
      <c r="U823" s="165"/>
      <c r="V823" s="200"/>
      <c r="W823" s="200"/>
      <c r="X823" s="361"/>
      <c r="Y823" s="373"/>
      <c r="Z823" s="373"/>
      <c r="AA823" s="370" t="e">
        <f t="shared" ca="1" si="522"/>
        <v>#NAME?</v>
      </c>
      <c r="AB823" s="181"/>
      <c r="AC823" s="182"/>
      <c r="AD823" s="182"/>
      <c r="AE823" s="178"/>
      <c r="AF823" s="178"/>
      <c r="AG823" s="178"/>
      <c r="AH823" s="178"/>
      <c r="AI823" s="181"/>
      <c r="AJ823" s="373"/>
      <c r="AK823" s="171"/>
      <c r="AL823" s="171"/>
      <c r="AM823" s="171"/>
      <c r="AN823" s="161"/>
      <c r="AO823" s="193"/>
      <c r="AP823" s="193" t="e">
        <f t="shared" ca="1" si="521"/>
        <v>#NAME?</v>
      </c>
      <c r="AQ823" s="200"/>
      <c r="AR823" s="204"/>
      <c r="AS823" s="204"/>
      <c r="AT823" s="204"/>
      <c r="AU823" s="204"/>
      <c r="AV823" s="204"/>
    </row>
    <row r="824" spans="1:48" ht="12" customHeight="1">
      <c r="A824" s="24"/>
      <c r="B824" s="24"/>
      <c r="C824" s="24"/>
      <c r="D824" s="24"/>
      <c r="E824" s="24"/>
      <c r="F824" s="24"/>
      <c r="G824" s="24"/>
      <c r="H824" s="393"/>
      <c r="I824" s="465"/>
      <c r="J824" s="281">
        <v>3</v>
      </c>
      <c r="K824" s="2" t="s">
        <v>224</v>
      </c>
      <c r="L824" s="112">
        <f t="shared" ref="L824:S824" si="533">L826</f>
        <v>54250</v>
      </c>
      <c r="M824" s="112">
        <f t="shared" si="533"/>
        <v>7200.2123564934627</v>
      </c>
      <c r="N824" s="113">
        <f t="shared" si="533"/>
        <v>15000</v>
      </c>
      <c r="O824" s="113">
        <f t="shared" si="533"/>
        <v>1990.8421262193906</v>
      </c>
      <c r="P824" s="114">
        <f t="shared" si="533"/>
        <v>4800</v>
      </c>
      <c r="Q824" s="114">
        <f t="shared" si="533"/>
        <v>5600</v>
      </c>
      <c r="R824" s="88">
        <f t="shared" si="533"/>
        <v>3185</v>
      </c>
      <c r="S824" s="90" t="e">
        <f t="shared" ca="1" si="533"/>
        <v>#NAME?</v>
      </c>
      <c r="T824" s="90"/>
      <c r="U824" s="90"/>
      <c r="V824" s="200">
        <f>V826</f>
        <v>1800</v>
      </c>
      <c r="W824" s="200">
        <f>W826</f>
        <v>5176</v>
      </c>
      <c r="X824" s="88">
        <f>X826</f>
        <v>0</v>
      </c>
      <c r="Y824" s="171">
        <f>Y826</f>
        <v>0</v>
      </c>
      <c r="Z824" s="171">
        <f>Z826</f>
        <v>0</v>
      </c>
      <c r="AA824" s="370" t="e">
        <f t="shared" ca="1" si="522"/>
        <v>#NAME?</v>
      </c>
      <c r="AB824" s="171"/>
      <c r="AC824" s="172">
        <f>AC826</f>
        <v>0</v>
      </c>
      <c r="AD824" s="172">
        <f>AD826</f>
        <v>0</v>
      </c>
      <c r="AE824" s="178">
        <f>O824/M824*100</f>
        <v>27.649769585253459</v>
      </c>
      <c r="AF824" s="178"/>
      <c r="AG824" s="178"/>
      <c r="AH824" s="178"/>
      <c r="AI824" s="171"/>
      <c r="AJ824" s="171">
        <v>0</v>
      </c>
      <c r="AK824" s="171">
        <f t="shared" si="511"/>
        <v>162.51177394034536</v>
      </c>
      <c r="AL824" s="171">
        <f t="shared" si="512"/>
        <v>0</v>
      </c>
      <c r="AM824" s="171"/>
      <c r="AN824" s="90"/>
      <c r="AO824" s="193"/>
      <c r="AP824" s="193" t="e">
        <f t="shared" ca="1" si="521"/>
        <v>#NAME?</v>
      </c>
      <c r="AQ824" s="200">
        <f>AQ826</f>
        <v>5176.21</v>
      </c>
      <c r="AR824" s="204">
        <f t="shared" si="529"/>
        <v>56.514913657770805</v>
      </c>
      <c r="AS824" s="204">
        <f>W824/V824*100</f>
        <v>287.55555555555554</v>
      </c>
      <c r="AT824" s="204">
        <f t="shared" si="530"/>
        <v>162.51177394034536</v>
      </c>
      <c r="AU824" s="204">
        <f t="shared" si="524"/>
        <v>100.004057187017</v>
      </c>
      <c r="AV824" s="204">
        <f t="shared" si="531"/>
        <v>162.51836734693879</v>
      </c>
    </row>
    <row r="825" spans="1:48" ht="12" customHeight="1">
      <c r="A825" s="42"/>
      <c r="B825" s="42"/>
      <c r="C825" s="42"/>
      <c r="D825" s="42"/>
      <c r="E825" s="42"/>
      <c r="F825" s="42"/>
      <c r="G825" s="42"/>
      <c r="H825" s="308"/>
      <c r="I825" s="14"/>
      <c r="J825" s="2"/>
      <c r="K825" s="281"/>
      <c r="L825" s="85"/>
      <c r="M825" s="85"/>
      <c r="N825" s="86"/>
      <c r="O825" s="86"/>
      <c r="P825" s="87"/>
      <c r="Q825" s="87"/>
      <c r="R825" s="160"/>
      <c r="S825" s="165" t="e">
        <f ca="1">__xlfn.XLOOKUP(H825,[1]Izvršenje_proračuna_po_pozicija!$B$2:$B$153,[1]Izvršenje_proračuna_po_pozicija!$E$2:$E$153,0)</f>
        <v>#NAME?</v>
      </c>
      <c r="T825" s="165"/>
      <c r="U825" s="165"/>
      <c r="V825" s="200"/>
      <c r="W825" s="200"/>
      <c r="X825" s="361"/>
      <c r="Y825" s="373"/>
      <c r="Z825" s="373"/>
      <c r="AA825" s="370" t="e">
        <f t="shared" ca="1" si="522"/>
        <v>#NAME?</v>
      </c>
      <c r="AB825" s="181"/>
      <c r="AC825" s="182"/>
      <c r="AD825" s="182"/>
      <c r="AE825" s="178"/>
      <c r="AF825" s="178"/>
      <c r="AG825" s="178"/>
      <c r="AH825" s="178"/>
      <c r="AI825" s="181"/>
      <c r="AJ825" s="373"/>
      <c r="AK825" s="171"/>
      <c r="AL825" s="171"/>
      <c r="AM825" s="171"/>
      <c r="AN825" s="161"/>
      <c r="AO825" s="193"/>
      <c r="AP825" s="193" t="e">
        <f t="shared" ca="1" si="521"/>
        <v>#NAME?</v>
      </c>
      <c r="AQ825" s="200"/>
      <c r="AR825" s="204"/>
      <c r="AS825" s="204"/>
      <c r="AT825" s="204"/>
      <c r="AU825" s="204"/>
      <c r="AV825" s="204"/>
    </row>
    <row r="826" spans="1:48" ht="12" customHeight="1">
      <c r="A826" s="301"/>
      <c r="B826" s="301"/>
      <c r="C826" s="301"/>
      <c r="D826" s="301"/>
      <c r="E826" s="301"/>
      <c r="F826" s="301"/>
      <c r="G826" s="301"/>
      <c r="H826" s="307"/>
      <c r="I826" s="350"/>
      <c r="J826" s="302">
        <v>32</v>
      </c>
      <c r="K826" s="343" t="s">
        <v>233</v>
      </c>
      <c r="L826" s="112">
        <f t="shared" ref="L826:S827" si="534">L827</f>
        <v>54250</v>
      </c>
      <c r="M826" s="112">
        <f t="shared" si="534"/>
        <v>7200.2123564934627</v>
      </c>
      <c r="N826" s="113">
        <f t="shared" si="534"/>
        <v>15000</v>
      </c>
      <c r="O826" s="113">
        <f t="shared" si="534"/>
        <v>1990.8421262193906</v>
      </c>
      <c r="P826" s="114">
        <f t="shared" si="534"/>
        <v>4800</v>
      </c>
      <c r="Q826" s="114">
        <f t="shared" si="534"/>
        <v>5600</v>
      </c>
      <c r="R826" s="88">
        <f t="shared" si="534"/>
        <v>3185</v>
      </c>
      <c r="S826" s="90" t="e">
        <f t="shared" ca="1" si="534"/>
        <v>#NAME?</v>
      </c>
      <c r="T826" s="90"/>
      <c r="U826" s="90"/>
      <c r="V826" s="200">
        <f>V827</f>
        <v>1800</v>
      </c>
      <c r="W826" s="200">
        <f t="shared" ref="W826:Z827" si="535">W827</f>
        <v>5176</v>
      </c>
      <c r="X826" s="88">
        <f t="shared" si="535"/>
        <v>0</v>
      </c>
      <c r="Y826" s="171">
        <f t="shared" si="535"/>
        <v>0</v>
      </c>
      <c r="Z826" s="171">
        <f t="shared" si="535"/>
        <v>0</v>
      </c>
      <c r="AA826" s="370" t="e">
        <f t="shared" ca="1" si="522"/>
        <v>#NAME?</v>
      </c>
      <c r="AB826" s="171"/>
      <c r="AC826" s="172">
        <f>AC827</f>
        <v>0</v>
      </c>
      <c r="AD826" s="172">
        <f>AD827</f>
        <v>0</v>
      </c>
      <c r="AE826" s="178">
        <f>O826/M826*100</f>
        <v>27.649769585253459</v>
      </c>
      <c r="AF826" s="178"/>
      <c r="AG826" s="178"/>
      <c r="AH826" s="178"/>
      <c r="AI826" s="171"/>
      <c r="AJ826" s="171">
        <v>0</v>
      </c>
      <c r="AK826" s="171">
        <f t="shared" si="511"/>
        <v>162.51177394034536</v>
      </c>
      <c r="AL826" s="171">
        <f t="shared" si="512"/>
        <v>0</v>
      </c>
      <c r="AM826" s="171"/>
      <c r="AN826" s="90"/>
      <c r="AO826" s="193"/>
      <c r="AP826" s="193" t="e">
        <f t="shared" ca="1" si="521"/>
        <v>#NAME?</v>
      </c>
      <c r="AQ826" s="200">
        <f>AQ827</f>
        <v>5176.21</v>
      </c>
      <c r="AR826" s="204">
        <f t="shared" si="529"/>
        <v>56.514913657770805</v>
      </c>
      <c r="AS826" s="204">
        <f>W826/V826*100</f>
        <v>287.55555555555554</v>
      </c>
      <c r="AT826" s="204">
        <f t="shared" si="530"/>
        <v>162.51177394034536</v>
      </c>
      <c r="AU826" s="204">
        <f t="shared" si="524"/>
        <v>100.004057187017</v>
      </c>
      <c r="AV826" s="204">
        <f t="shared" si="531"/>
        <v>162.51836734693879</v>
      </c>
    </row>
    <row r="827" spans="1:48" ht="12" customHeight="1">
      <c r="A827" s="62"/>
      <c r="B827" s="62"/>
      <c r="C827" s="62"/>
      <c r="D827" s="62"/>
      <c r="E827" s="62"/>
      <c r="F827" s="62"/>
      <c r="G827" s="62"/>
      <c r="H827" s="304"/>
      <c r="I827" s="464"/>
      <c r="J827" s="303">
        <v>323</v>
      </c>
      <c r="K827" s="19" t="s">
        <v>356</v>
      </c>
      <c r="L827" s="112">
        <f t="shared" si="534"/>
        <v>54250</v>
      </c>
      <c r="M827" s="112">
        <f t="shared" si="534"/>
        <v>7200.2123564934627</v>
      </c>
      <c r="N827" s="113">
        <f t="shared" si="534"/>
        <v>15000</v>
      </c>
      <c r="O827" s="113">
        <f t="shared" si="534"/>
        <v>1990.8421262193906</v>
      </c>
      <c r="P827" s="114">
        <f t="shared" si="534"/>
        <v>4800</v>
      </c>
      <c r="Q827" s="114">
        <f t="shared" si="534"/>
        <v>5600</v>
      </c>
      <c r="R827" s="88">
        <f t="shared" si="534"/>
        <v>3185</v>
      </c>
      <c r="S827" s="90" t="e">
        <f t="shared" ca="1" si="534"/>
        <v>#NAME?</v>
      </c>
      <c r="T827" s="90"/>
      <c r="U827" s="90"/>
      <c r="V827" s="200">
        <f>V828</f>
        <v>1800</v>
      </c>
      <c r="W827" s="200">
        <f t="shared" si="535"/>
        <v>5176</v>
      </c>
      <c r="X827" s="88">
        <f t="shared" si="535"/>
        <v>0</v>
      </c>
      <c r="Y827" s="171">
        <f t="shared" si="535"/>
        <v>0</v>
      </c>
      <c r="Z827" s="171">
        <f t="shared" si="535"/>
        <v>0</v>
      </c>
      <c r="AA827" s="370" t="e">
        <f t="shared" ca="1" si="522"/>
        <v>#NAME?</v>
      </c>
      <c r="AB827" s="171"/>
      <c r="AC827" s="172">
        <f>AC828</f>
        <v>0</v>
      </c>
      <c r="AD827" s="172">
        <f>AD828</f>
        <v>0</v>
      </c>
      <c r="AE827" s="178">
        <f>O827/M827*100</f>
        <v>27.649769585253459</v>
      </c>
      <c r="AF827" s="178"/>
      <c r="AG827" s="178"/>
      <c r="AH827" s="178"/>
      <c r="AI827" s="171"/>
      <c r="AJ827" s="171">
        <v>0</v>
      </c>
      <c r="AK827" s="171">
        <f t="shared" si="511"/>
        <v>162.51177394034536</v>
      </c>
      <c r="AL827" s="171">
        <f t="shared" si="512"/>
        <v>0</v>
      </c>
      <c r="AM827" s="171"/>
      <c r="AN827" s="90"/>
      <c r="AO827" s="193"/>
      <c r="AP827" s="193" t="e">
        <f t="shared" ca="1" si="521"/>
        <v>#NAME?</v>
      </c>
      <c r="AQ827" s="200">
        <f>AQ828</f>
        <v>5176.21</v>
      </c>
      <c r="AR827" s="204">
        <f t="shared" si="529"/>
        <v>56.514913657770805</v>
      </c>
      <c r="AS827" s="204">
        <f>W827/V827*100</f>
        <v>287.55555555555554</v>
      </c>
      <c r="AT827" s="204">
        <f t="shared" si="530"/>
        <v>162.51177394034536</v>
      </c>
      <c r="AU827" s="204">
        <f t="shared" si="524"/>
        <v>100.004057187017</v>
      </c>
      <c r="AV827" s="204">
        <f t="shared" si="531"/>
        <v>162.51836734693879</v>
      </c>
    </row>
    <row r="828" spans="1:48" ht="12" customHeight="1">
      <c r="A828" s="53"/>
      <c r="B828" s="53"/>
      <c r="C828" s="53"/>
      <c r="D828" s="53"/>
      <c r="E828" s="53"/>
      <c r="F828" s="53"/>
      <c r="G828" s="53"/>
      <c r="H828" s="1">
        <v>114</v>
      </c>
      <c r="I828" s="397">
        <v>820</v>
      </c>
      <c r="J828" s="229">
        <v>3235</v>
      </c>
      <c r="K828" s="18" t="s">
        <v>666</v>
      </c>
      <c r="L828" s="130">
        <v>54250</v>
      </c>
      <c r="M828" s="130">
        <f>54250/7.5345</f>
        <v>7200.2123564934627</v>
      </c>
      <c r="N828" s="131">
        <v>15000</v>
      </c>
      <c r="O828" s="131">
        <f>N828/7.5345</f>
        <v>1990.8421262193906</v>
      </c>
      <c r="P828" s="132">
        <v>4800</v>
      </c>
      <c r="Q828" s="163">
        <v>5600</v>
      </c>
      <c r="R828" s="159">
        <v>3185</v>
      </c>
      <c r="S828" s="165" t="e">
        <f ca="1">__xlfn.XLOOKUP(H828,[1]Izvršenje_proračuna_po_pozicija!$B$2:$B$153,[1]Izvršenje_proračuna_po_pozicija!$E$2:$E$153,0)</f>
        <v>#NAME?</v>
      </c>
      <c r="T828" s="165"/>
      <c r="U828" s="165"/>
      <c r="V828" s="200">
        <v>1800</v>
      </c>
      <c r="W828" s="200">
        <v>5176</v>
      </c>
      <c r="X828" s="164"/>
      <c r="Y828" s="378"/>
      <c r="Z828" s="378"/>
      <c r="AA828" s="370" t="e">
        <f t="shared" ca="1" si="522"/>
        <v>#NAME?</v>
      </c>
      <c r="AB828" s="183"/>
      <c r="AC828" s="178">
        <v>0</v>
      </c>
      <c r="AD828" s="178">
        <v>0</v>
      </c>
      <c r="AE828" s="178">
        <f>O828/M828*100</f>
        <v>27.649769585253459</v>
      </c>
      <c r="AF828" s="178"/>
      <c r="AG828" s="178"/>
      <c r="AH828" s="178"/>
      <c r="AI828" s="183"/>
      <c r="AJ828" s="378"/>
      <c r="AK828" s="171">
        <f t="shared" si="511"/>
        <v>162.51177394034536</v>
      </c>
      <c r="AL828" s="171">
        <f t="shared" si="512"/>
        <v>0</v>
      </c>
      <c r="AM828" s="171"/>
      <c r="AN828" s="165"/>
      <c r="AO828" s="193"/>
      <c r="AP828" s="193" t="e">
        <f t="shared" ca="1" si="521"/>
        <v>#NAME?</v>
      </c>
      <c r="AQ828" s="200">
        <v>5176.21</v>
      </c>
      <c r="AR828" s="204">
        <f t="shared" si="529"/>
        <v>56.514913657770805</v>
      </c>
      <c r="AS828" s="204">
        <f>W828/V828*100</f>
        <v>287.55555555555554</v>
      </c>
      <c r="AT828" s="204">
        <f t="shared" si="530"/>
        <v>162.51177394034536</v>
      </c>
      <c r="AU828" s="204">
        <f t="shared" si="524"/>
        <v>100.004057187017</v>
      </c>
      <c r="AV828" s="204">
        <f t="shared" si="531"/>
        <v>162.51836734693879</v>
      </c>
    </row>
    <row r="829" spans="1:48" ht="12" customHeight="1">
      <c r="A829" s="69"/>
      <c r="B829" s="69"/>
      <c r="C829" s="69"/>
      <c r="D829" s="69"/>
      <c r="E829" s="69"/>
      <c r="F829" s="69"/>
      <c r="G829" s="69"/>
      <c r="H829" s="389"/>
      <c r="I829" s="341"/>
      <c r="J829" s="281"/>
      <c r="K829" s="70"/>
      <c r="L829" s="217"/>
      <c r="M829" s="217"/>
      <c r="N829" s="218"/>
      <c r="O829" s="218"/>
      <c r="P829" s="219"/>
      <c r="Q829" s="219"/>
      <c r="R829" s="282"/>
      <c r="S829" s="165" t="e">
        <f ca="1">__xlfn.XLOOKUP(H829,[1]Izvršenje_proračuna_po_pozicija!$B$2:$B$153,[1]Izvršenje_proračuna_po_pozicija!$E$2:$E$153,0)</f>
        <v>#NAME?</v>
      </c>
      <c r="T829" s="165"/>
      <c r="U829" s="165"/>
      <c r="V829" s="200"/>
      <c r="W829" s="200"/>
      <c r="X829" s="167"/>
      <c r="Y829" s="424"/>
      <c r="Z829" s="424"/>
      <c r="AA829" s="370" t="e">
        <f t="shared" ca="1" si="522"/>
        <v>#NAME?</v>
      </c>
      <c r="AB829" s="223"/>
      <c r="AC829" s="224"/>
      <c r="AD829" s="224"/>
      <c r="AE829" s="178"/>
      <c r="AF829" s="178"/>
      <c r="AG829" s="178"/>
      <c r="AH829" s="178"/>
      <c r="AI829" s="223"/>
      <c r="AJ829" s="424"/>
      <c r="AK829" s="171"/>
      <c r="AL829" s="171"/>
      <c r="AM829" s="171"/>
      <c r="AN829" s="222"/>
      <c r="AO829" s="193"/>
      <c r="AP829" s="193" t="e">
        <f t="shared" ca="1" si="521"/>
        <v>#NAME?</v>
      </c>
      <c r="AQ829" s="200"/>
      <c r="AR829" s="204"/>
      <c r="AS829" s="204"/>
      <c r="AT829" s="204"/>
      <c r="AU829" s="204"/>
      <c r="AV829" s="204"/>
    </row>
    <row r="830" spans="1:48" ht="12" customHeight="1">
      <c r="A830" s="390" t="s">
        <v>366</v>
      </c>
      <c r="B830" s="391"/>
      <c r="C830" s="391"/>
      <c r="D830" s="391"/>
      <c r="E830" s="391"/>
      <c r="F830" s="391"/>
      <c r="G830" s="391"/>
      <c r="H830" s="392"/>
      <c r="I830" s="485" t="s">
        <v>667</v>
      </c>
      <c r="J830" s="486"/>
      <c r="K830" s="300"/>
      <c r="L830" s="112">
        <f t="shared" ref="L830:S830" si="536">L832</f>
        <v>480332</v>
      </c>
      <c r="M830" s="112">
        <f t="shared" si="536"/>
        <v>63751.012011414146</v>
      </c>
      <c r="N830" s="113">
        <f t="shared" si="536"/>
        <v>477138</v>
      </c>
      <c r="O830" s="113">
        <f t="shared" si="536"/>
        <v>63327.095361337837</v>
      </c>
      <c r="P830" s="114">
        <f t="shared" si="536"/>
        <v>72999.508925608869</v>
      </c>
      <c r="Q830" s="114">
        <f t="shared" si="536"/>
        <v>115200</v>
      </c>
      <c r="R830" s="88">
        <f t="shared" si="536"/>
        <v>106096</v>
      </c>
      <c r="S830" s="90" t="e">
        <f t="shared" ca="1" si="536"/>
        <v>#NAME?</v>
      </c>
      <c r="T830" s="90"/>
      <c r="U830" s="90"/>
      <c r="V830" s="200">
        <f>V832</f>
        <v>168100</v>
      </c>
      <c r="W830" s="200">
        <f>W832</f>
        <v>168100</v>
      </c>
      <c r="X830" s="88">
        <f>X832</f>
        <v>169500</v>
      </c>
      <c r="Y830" s="171">
        <f>Y832</f>
        <v>192000</v>
      </c>
      <c r="Z830" s="171">
        <f>Z832</f>
        <v>0</v>
      </c>
      <c r="AA830" s="370" t="e">
        <f t="shared" ca="1" si="522"/>
        <v>#NAME?</v>
      </c>
      <c r="AB830" s="171"/>
      <c r="AC830" s="172">
        <f>AC832</f>
        <v>76500</v>
      </c>
      <c r="AD830" s="172">
        <f>AD832</f>
        <v>76500</v>
      </c>
      <c r="AE830" s="178">
        <f>O830/M830*100</f>
        <v>99.335043261743976</v>
      </c>
      <c r="AF830" s="178">
        <f>P830/O830*100</f>
        <v>115.27373631947154</v>
      </c>
      <c r="AG830" s="178">
        <f>Q830/P830*100</f>
        <v>157.80928076844475</v>
      </c>
      <c r="AH830" s="178">
        <f>AC830/Q830*100</f>
        <v>66.40625</v>
      </c>
      <c r="AI830" s="171"/>
      <c r="AJ830" s="171">
        <v>192000</v>
      </c>
      <c r="AK830" s="171">
        <f t="shared" si="511"/>
        <v>158.44141155180213</v>
      </c>
      <c r="AL830" s="171">
        <f t="shared" si="512"/>
        <v>100.83283759666865</v>
      </c>
      <c r="AM830" s="171">
        <f t="shared" si="512"/>
        <v>113.27433628318585</v>
      </c>
      <c r="AN830" s="90"/>
      <c r="AO830" s="193"/>
      <c r="AP830" s="193" t="e">
        <f t="shared" ca="1" si="521"/>
        <v>#NAME?</v>
      </c>
      <c r="AQ830" s="200">
        <f>AQ832</f>
        <v>160099.19</v>
      </c>
      <c r="AR830" s="204">
        <f t="shared" si="529"/>
        <v>158.44141155180213</v>
      </c>
      <c r="AS830" s="204">
        <f>W830/V830*100</f>
        <v>100</v>
      </c>
      <c r="AT830" s="204">
        <f t="shared" si="530"/>
        <v>158.44141155180213</v>
      </c>
      <c r="AU830" s="204">
        <f t="shared" si="524"/>
        <v>95.240446162998211</v>
      </c>
      <c r="AV830" s="204">
        <f t="shared" si="531"/>
        <v>150.90030726888855</v>
      </c>
    </row>
    <row r="831" spans="1:48" ht="12" customHeight="1">
      <c r="A831" s="42"/>
      <c r="B831" s="42"/>
      <c r="C831" s="42"/>
      <c r="D831" s="42"/>
      <c r="E831" s="42"/>
      <c r="F831" s="42"/>
      <c r="G831" s="42"/>
      <c r="H831" s="308"/>
      <c r="I831" s="14"/>
      <c r="J831" s="2"/>
      <c r="K831" s="84"/>
      <c r="L831" s="85"/>
      <c r="M831" s="85"/>
      <c r="N831" s="86"/>
      <c r="O831" s="86"/>
      <c r="P831" s="87"/>
      <c r="Q831" s="87"/>
      <c r="R831" s="160"/>
      <c r="S831" s="165" t="e">
        <f ca="1">__xlfn.XLOOKUP(H831,[1]Izvršenje_proračuna_po_pozicija!$B$2:$B$153,[1]Izvršenje_proračuna_po_pozicija!$E$2:$E$153,0)</f>
        <v>#NAME?</v>
      </c>
      <c r="T831" s="165"/>
      <c r="U831" s="165"/>
      <c r="V831" s="200"/>
      <c r="W831" s="200"/>
      <c r="X831" s="361"/>
      <c r="Y831" s="373"/>
      <c r="Z831" s="373"/>
      <c r="AA831" s="370" t="e">
        <f t="shared" ca="1" si="522"/>
        <v>#NAME?</v>
      </c>
      <c r="AB831" s="181"/>
      <c r="AC831" s="182"/>
      <c r="AD831" s="182"/>
      <c r="AE831" s="178"/>
      <c r="AF831" s="178"/>
      <c r="AG831" s="178"/>
      <c r="AH831" s="178"/>
      <c r="AI831" s="181"/>
      <c r="AJ831" s="373"/>
      <c r="AK831" s="171"/>
      <c r="AL831" s="171"/>
      <c r="AM831" s="171"/>
      <c r="AN831" s="161"/>
      <c r="AO831" s="193"/>
      <c r="AP831" s="193" t="e">
        <f t="shared" ca="1" si="521"/>
        <v>#NAME?</v>
      </c>
      <c r="AQ831" s="200"/>
      <c r="AR831" s="204"/>
      <c r="AS831" s="204"/>
      <c r="AT831" s="204"/>
      <c r="AU831" s="204"/>
      <c r="AV831" s="204"/>
    </row>
    <row r="832" spans="1:48" ht="12" customHeight="1">
      <c r="A832" s="24"/>
      <c r="B832" s="24"/>
      <c r="C832" s="24"/>
      <c r="D832" s="24"/>
      <c r="E832" s="24"/>
      <c r="F832" s="24"/>
      <c r="G832" s="24"/>
      <c r="H832" s="393"/>
      <c r="I832" s="465"/>
      <c r="J832" s="281">
        <v>3</v>
      </c>
      <c r="K832" s="2" t="s">
        <v>224</v>
      </c>
      <c r="L832" s="112">
        <f t="shared" ref="L832:S832" si="537">L833+L840</f>
        <v>480332</v>
      </c>
      <c r="M832" s="112">
        <f t="shared" si="537"/>
        <v>63751.012011414146</v>
      </c>
      <c r="N832" s="113">
        <f t="shared" si="537"/>
        <v>477138</v>
      </c>
      <c r="O832" s="113">
        <f t="shared" si="537"/>
        <v>63327.095361337837</v>
      </c>
      <c r="P832" s="114">
        <f t="shared" si="537"/>
        <v>72999.508925608869</v>
      </c>
      <c r="Q832" s="114">
        <f t="shared" si="537"/>
        <v>115200</v>
      </c>
      <c r="R832" s="88">
        <f t="shared" si="537"/>
        <v>106096</v>
      </c>
      <c r="S832" s="90" t="e">
        <f t="shared" ca="1" si="537"/>
        <v>#NAME?</v>
      </c>
      <c r="T832" s="90"/>
      <c r="U832" s="90"/>
      <c r="V832" s="200">
        <f>V833+V840</f>
        <v>168100</v>
      </c>
      <c r="W832" s="200">
        <f>W833+W840</f>
        <v>168100</v>
      </c>
      <c r="X832" s="88">
        <f>X833+X840</f>
        <v>169500</v>
      </c>
      <c r="Y832" s="171">
        <f>Y833+Y840</f>
        <v>192000</v>
      </c>
      <c r="Z832" s="171">
        <f>Z833+Z840</f>
        <v>0</v>
      </c>
      <c r="AA832" s="370" t="e">
        <f t="shared" ca="1" si="522"/>
        <v>#NAME?</v>
      </c>
      <c r="AB832" s="171"/>
      <c r="AC832" s="172">
        <f>AC833+AC840</f>
        <v>76500</v>
      </c>
      <c r="AD832" s="172">
        <f>AD833+AD840</f>
        <v>76500</v>
      </c>
      <c r="AE832" s="178">
        <f>O832/M832*100</f>
        <v>99.335043261743976</v>
      </c>
      <c r="AF832" s="178">
        <f t="shared" ref="AF832:AG836" si="538">P832/O832*100</f>
        <v>115.27373631947154</v>
      </c>
      <c r="AG832" s="178">
        <f t="shared" si="538"/>
        <v>157.80928076844475</v>
      </c>
      <c r="AH832" s="178">
        <f>AC832/Q832*100</f>
        <v>66.40625</v>
      </c>
      <c r="AI832" s="171"/>
      <c r="AJ832" s="171">
        <v>192000</v>
      </c>
      <c r="AK832" s="171">
        <f t="shared" si="511"/>
        <v>158.44141155180213</v>
      </c>
      <c r="AL832" s="171">
        <f t="shared" si="512"/>
        <v>100.83283759666865</v>
      </c>
      <c r="AM832" s="171">
        <f t="shared" si="512"/>
        <v>113.27433628318585</v>
      </c>
      <c r="AN832" s="90"/>
      <c r="AO832" s="193"/>
      <c r="AP832" s="193" t="e">
        <f t="shared" ca="1" si="521"/>
        <v>#NAME?</v>
      </c>
      <c r="AQ832" s="200">
        <f>AQ833+AQ840</f>
        <v>160099.19</v>
      </c>
      <c r="AR832" s="204">
        <f t="shared" si="529"/>
        <v>158.44141155180213</v>
      </c>
      <c r="AS832" s="204">
        <f>W832/V832*100</f>
        <v>100</v>
      </c>
      <c r="AT832" s="204">
        <f t="shared" si="530"/>
        <v>158.44141155180213</v>
      </c>
      <c r="AU832" s="204">
        <f t="shared" si="524"/>
        <v>95.240446162998211</v>
      </c>
      <c r="AV832" s="204">
        <f t="shared" si="531"/>
        <v>150.90030726888855</v>
      </c>
    </row>
    <row r="833" spans="1:48" ht="12" customHeight="1">
      <c r="A833" s="301"/>
      <c r="B833" s="301"/>
      <c r="C833" s="301"/>
      <c r="D833" s="301"/>
      <c r="E833" s="301"/>
      <c r="F833" s="301"/>
      <c r="G833" s="301"/>
      <c r="H833" s="307"/>
      <c r="I833" s="350"/>
      <c r="J833" s="302">
        <v>32</v>
      </c>
      <c r="K833" s="343" t="s">
        <v>233</v>
      </c>
      <c r="L833" s="112">
        <f t="shared" ref="L833:Z833" si="539">L834</f>
        <v>370332</v>
      </c>
      <c r="M833" s="112">
        <f t="shared" si="539"/>
        <v>49151.503085805285</v>
      </c>
      <c r="N833" s="113">
        <f t="shared" si="539"/>
        <v>367138</v>
      </c>
      <c r="O833" s="113">
        <f t="shared" si="539"/>
        <v>48727.586435728976</v>
      </c>
      <c r="P833" s="114">
        <f t="shared" si="539"/>
        <v>58400</v>
      </c>
      <c r="Q833" s="114">
        <f t="shared" si="539"/>
        <v>92400</v>
      </c>
      <c r="R833" s="88">
        <f t="shared" si="539"/>
        <v>87350</v>
      </c>
      <c r="S833" s="90" t="e">
        <f t="shared" ca="1" si="539"/>
        <v>#NAME?</v>
      </c>
      <c r="T833" s="90"/>
      <c r="U833" s="90"/>
      <c r="V833" s="200">
        <f>V834</f>
        <v>133600</v>
      </c>
      <c r="W833" s="200">
        <f t="shared" si="539"/>
        <v>133600</v>
      </c>
      <c r="X833" s="88">
        <f t="shared" si="539"/>
        <v>135000</v>
      </c>
      <c r="Y833" s="171">
        <f t="shared" si="539"/>
        <v>157000</v>
      </c>
      <c r="Z833" s="171">
        <f t="shared" si="539"/>
        <v>0</v>
      </c>
      <c r="AA833" s="370" t="e">
        <f t="shared" ca="1" si="522"/>
        <v>#NAME?</v>
      </c>
      <c r="AB833" s="171"/>
      <c r="AC833" s="172">
        <f>AC834</f>
        <v>61500</v>
      </c>
      <c r="AD833" s="172">
        <f>AD834</f>
        <v>61500</v>
      </c>
      <c r="AE833" s="178">
        <f>O833/M833*100</f>
        <v>99.137530648175158</v>
      </c>
      <c r="AF833" s="178">
        <f t="shared" si="538"/>
        <v>119.8499746689256</v>
      </c>
      <c r="AG833" s="178">
        <f t="shared" si="538"/>
        <v>158.2191780821918</v>
      </c>
      <c r="AH833" s="178">
        <f>AC833/Q833*100</f>
        <v>66.558441558441558</v>
      </c>
      <c r="AI833" s="171"/>
      <c r="AJ833" s="171">
        <v>157000</v>
      </c>
      <c r="AK833" s="171">
        <f t="shared" si="511"/>
        <v>152.9479107040641</v>
      </c>
      <c r="AL833" s="171">
        <f t="shared" si="512"/>
        <v>101.04790419161678</v>
      </c>
      <c r="AM833" s="171">
        <f t="shared" si="512"/>
        <v>116.2962962962963</v>
      </c>
      <c r="AN833" s="90"/>
      <c r="AO833" s="460"/>
      <c r="AP833" s="193" t="e">
        <f t="shared" ca="1" si="521"/>
        <v>#NAME?</v>
      </c>
      <c r="AQ833" s="200">
        <f>AQ834</f>
        <v>132975</v>
      </c>
      <c r="AR833" s="204">
        <f t="shared" si="529"/>
        <v>152.9479107040641</v>
      </c>
      <c r="AS833" s="204">
        <f>W833/V833*100</f>
        <v>100</v>
      </c>
      <c r="AT833" s="204">
        <f t="shared" si="530"/>
        <v>152.9479107040641</v>
      </c>
      <c r="AU833" s="204">
        <f t="shared" si="524"/>
        <v>99.532185628742525</v>
      </c>
      <c r="AV833" s="204">
        <f t="shared" si="531"/>
        <v>152.23239839725241</v>
      </c>
    </row>
    <row r="834" spans="1:48" ht="12" customHeight="1">
      <c r="A834" s="62"/>
      <c r="B834" s="62"/>
      <c r="C834" s="62"/>
      <c r="D834" s="62"/>
      <c r="E834" s="62"/>
      <c r="F834" s="62"/>
      <c r="G834" s="62"/>
      <c r="H834" s="304"/>
      <c r="I834" s="464"/>
      <c r="J834" s="303">
        <v>329</v>
      </c>
      <c r="K834" s="19" t="s">
        <v>668</v>
      </c>
      <c r="L834" s="112">
        <f t="shared" ref="L834:S834" si="540">L835+L836+L837+L838</f>
        <v>370332</v>
      </c>
      <c r="M834" s="112">
        <f t="shared" si="540"/>
        <v>49151.503085805285</v>
      </c>
      <c r="N834" s="113">
        <f t="shared" si="540"/>
        <v>367138</v>
      </c>
      <c r="O834" s="113">
        <f t="shared" si="540"/>
        <v>48727.586435728976</v>
      </c>
      <c r="P834" s="114">
        <f t="shared" si="540"/>
        <v>58400</v>
      </c>
      <c r="Q834" s="114">
        <f t="shared" si="540"/>
        <v>92400</v>
      </c>
      <c r="R834" s="88">
        <f t="shared" si="540"/>
        <v>87350</v>
      </c>
      <c r="S834" s="90" t="e">
        <f t="shared" ca="1" si="540"/>
        <v>#NAME?</v>
      </c>
      <c r="T834" s="90"/>
      <c r="U834" s="90"/>
      <c r="V834" s="200">
        <f>V835+V836+V837+V838</f>
        <v>133600</v>
      </c>
      <c r="W834" s="200">
        <f>W835+W836+W837+W838</f>
        <v>133600</v>
      </c>
      <c r="X834" s="88">
        <f>X835+X836+X837+X838</f>
        <v>135000</v>
      </c>
      <c r="Y834" s="171">
        <f>Y835+Y836+Y837+Y838</f>
        <v>157000</v>
      </c>
      <c r="Z834" s="171">
        <f>Z835+Z836+Z837+Z838</f>
        <v>0</v>
      </c>
      <c r="AA834" s="370" t="e">
        <f t="shared" ca="1" si="522"/>
        <v>#NAME?</v>
      </c>
      <c r="AB834" s="171"/>
      <c r="AC834" s="172">
        <f>AC835+AC836+AC837+AC838</f>
        <v>61500</v>
      </c>
      <c r="AD834" s="172">
        <f>AD835+AD836+AD837+AD838</f>
        <v>61500</v>
      </c>
      <c r="AE834" s="178">
        <f>O834/M834*100</f>
        <v>99.137530648175158</v>
      </c>
      <c r="AF834" s="178">
        <f t="shared" si="538"/>
        <v>119.8499746689256</v>
      </c>
      <c r="AG834" s="178">
        <f t="shared" si="538"/>
        <v>158.2191780821918</v>
      </c>
      <c r="AH834" s="178">
        <f>AC834/Q834*100</f>
        <v>66.558441558441558</v>
      </c>
      <c r="AI834" s="171"/>
      <c r="AJ834" s="171">
        <v>157000</v>
      </c>
      <c r="AK834" s="171">
        <f t="shared" si="511"/>
        <v>152.9479107040641</v>
      </c>
      <c r="AL834" s="171">
        <f t="shared" si="512"/>
        <v>101.04790419161678</v>
      </c>
      <c r="AM834" s="171">
        <f t="shared" si="512"/>
        <v>116.2962962962963</v>
      </c>
      <c r="AN834" s="90"/>
      <c r="AO834" s="460"/>
      <c r="AP834" s="193" t="e">
        <f t="shared" ca="1" si="521"/>
        <v>#NAME?</v>
      </c>
      <c r="AQ834" s="200">
        <f>AQ835+AQ836+AQ837+AQ838</f>
        <v>132975</v>
      </c>
      <c r="AR834" s="204">
        <f t="shared" si="529"/>
        <v>152.9479107040641</v>
      </c>
      <c r="AS834" s="204">
        <f>W834/V834*100</f>
        <v>100</v>
      </c>
      <c r="AT834" s="204">
        <f t="shared" si="530"/>
        <v>152.9479107040641</v>
      </c>
      <c r="AU834" s="204">
        <f t="shared" si="524"/>
        <v>99.532185628742525</v>
      </c>
      <c r="AV834" s="204">
        <f t="shared" si="531"/>
        <v>152.23239839725241</v>
      </c>
    </row>
    <row r="835" spans="1:48" ht="12" customHeight="1">
      <c r="A835" s="53"/>
      <c r="B835" s="53"/>
      <c r="C835" s="53"/>
      <c r="D835" s="53"/>
      <c r="E835" s="53"/>
      <c r="F835" s="53"/>
      <c r="G835" s="53"/>
      <c r="H835" s="1" t="s">
        <v>669</v>
      </c>
      <c r="I835" s="345">
        <v>820</v>
      </c>
      <c r="J835" s="229">
        <v>3299</v>
      </c>
      <c r="K835" s="18" t="s">
        <v>670</v>
      </c>
      <c r="L835" s="130">
        <v>12000</v>
      </c>
      <c r="M835" s="130">
        <f>12000/7.5345</f>
        <v>1592.6737009755125</v>
      </c>
      <c r="N835" s="131">
        <v>0</v>
      </c>
      <c r="O835" s="131">
        <f>N835/7.5345</f>
        <v>0</v>
      </c>
      <c r="P835" s="132">
        <v>1400</v>
      </c>
      <c r="Q835" s="132">
        <v>1400</v>
      </c>
      <c r="R835" s="159">
        <v>350</v>
      </c>
      <c r="S835" s="165" t="e">
        <f ca="1">__xlfn.XLOOKUP(H835,[1]Izvršenje_proračuna_po_pozicija!$B$2:$B$153,[1]Izvršenje_proračuna_po_pozicija!$E$2:$E$153,0)</f>
        <v>#NAME?</v>
      </c>
      <c r="T835" s="165"/>
      <c r="U835" s="165"/>
      <c r="V835" s="200">
        <v>600</v>
      </c>
      <c r="W835" s="200">
        <v>600</v>
      </c>
      <c r="X835" s="164"/>
      <c r="Y835" s="378"/>
      <c r="Z835" s="378"/>
      <c r="AA835" s="370" t="e">
        <f t="shared" ca="1" si="522"/>
        <v>#NAME?</v>
      </c>
      <c r="AB835" s="183"/>
      <c r="AC835" s="178">
        <v>1500</v>
      </c>
      <c r="AD835" s="178">
        <v>1500</v>
      </c>
      <c r="AE835" s="178">
        <f>O835/M835*100</f>
        <v>0</v>
      </c>
      <c r="AF835" s="178" t="e">
        <f t="shared" si="538"/>
        <v>#DIV/0!</v>
      </c>
      <c r="AG835" s="178">
        <f t="shared" si="538"/>
        <v>100</v>
      </c>
      <c r="AH835" s="178">
        <f>AC835/Q835*100</f>
        <v>107.14285714285714</v>
      </c>
      <c r="AI835" s="183"/>
      <c r="AJ835" s="378"/>
      <c r="AK835" s="171">
        <f t="shared" si="511"/>
        <v>171.42857142857142</v>
      </c>
      <c r="AL835" s="171">
        <f t="shared" si="512"/>
        <v>0</v>
      </c>
      <c r="AM835" s="171"/>
      <c r="AN835" s="165"/>
      <c r="AO835" s="460"/>
      <c r="AP835" s="193" t="e">
        <f t="shared" ca="1" si="521"/>
        <v>#NAME?</v>
      </c>
      <c r="AQ835" s="200">
        <v>600</v>
      </c>
      <c r="AR835" s="204">
        <f t="shared" si="529"/>
        <v>171.42857142857142</v>
      </c>
      <c r="AS835" s="204">
        <f>W835/V835*100</f>
        <v>100</v>
      </c>
      <c r="AT835" s="204">
        <f t="shared" si="530"/>
        <v>171.42857142857142</v>
      </c>
      <c r="AU835" s="204">
        <f t="shared" si="524"/>
        <v>100</v>
      </c>
      <c r="AV835" s="204">
        <f t="shared" si="531"/>
        <v>171.42857142857142</v>
      </c>
    </row>
    <row r="836" spans="1:48" ht="12" customHeight="1">
      <c r="A836" s="53"/>
      <c r="B836" s="53"/>
      <c r="C836" s="53"/>
      <c r="D836" s="53"/>
      <c r="E836" s="53"/>
      <c r="F836" s="53"/>
      <c r="G836" s="53"/>
      <c r="H836" s="1" t="s">
        <v>671</v>
      </c>
      <c r="I836" s="345">
        <v>820</v>
      </c>
      <c r="J836" s="229">
        <v>3299</v>
      </c>
      <c r="K836" s="18" t="s">
        <v>672</v>
      </c>
      <c r="L836" s="130">
        <v>350500</v>
      </c>
      <c r="M836" s="130">
        <f>350500/7.5345</f>
        <v>46519.344349326428</v>
      </c>
      <c r="N836" s="131">
        <v>364900</v>
      </c>
      <c r="O836" s="131">
        <f>N836/7.5345</f>
        <v>48430.552790497044</v>
      </c>
      <c r="P836" s="132">
        <v>53000</v>
      </c>
      <c r="Q836" s="163">
        <v>87000</v>
      </c>
      <c r="R836" s="159">
        <v>87000</v>
      </c>
      <c r="S836" s="165" t="e">
        <f ca="1">__xlfn.XLOOKUP(H836,[1]Izvršenje_proračuna_po_pozicija!$B$2:$B$153,[1]Izvršenje_proračuna_po_pozicija!$E$2:$E$153,0)</f>
        <v>#NAME?</v>
      </c>
      <c r="T836" s="165"/>
      <c r="U836" s="165"/>
      <c r="V836" s="200">
        <v>117000</v>
      </c>
      <c r="W836" s="200">
        <v>117000</v>
      </c>
      <c r="X836" s="164">
        <v>120000</v>
      </c>
      <c r="Y836" s="378">
        <v>140000</v>
      </c>
      <c r="Z836" s="378"/>
      <c r="AA836" s="370" t="e">
        <f t="shared" ca="1" si="522"/>
        <v>#NAME?</v>
      </c>
      <c r="AB836" s="183"/>
      <c r="AC836" s="178">
        <v>55000</v>
      </c>
      <c r="AD836" s="178">
        <v>55000</v>
      </c>
      <c r="AE836" s="178">
        <f>O836/M836*100</f>
        <v>104.10841654778889</v>
      </c>
      <c r="AF836" s="178">
        <f t="shared" si="538"/>
        <v>109.4350506988216</v>
      </c>
      <c r="AG836" s="178">
        <f t="shared" si="538"/>
        <v>164.15094339622641</v>
      </c>
      <c r="AH836" s="178">
        <f>AC836/Q836*100</f>
        <v>63.218390804597703</v>
      </c>
      <c r="AI836" s="183"/>
      <c r="AJ836" s="378">
        <v>140000</v>
      </c>
      <c r="AK836" s="171">
        <f t="shared" si="511"/>
        <v>134.48275862068965</v>
      </c>
      <c r="AL836" s="171">
        <f t="shared" si="512"/>
        <v>102.56410256410255</v>
      </c>
      <c r="AM836" s="171">
        <f t="shared" si="512"/>
        <v>116.66666666666667</v>
      </c>
      <c r="AN836" s="165"/>
      <c r="AO836" s="460"/>
      <c r="AP836" s="193" t="e">
        <f t="shared" ca="1" si="521"/>
        <v>#NAME?</v>
      </c>
      <c r="AQ836" s="200">
        <v>84000</v>
      </c>
      <c r="AR836" s="204">
        <f t="shared" si="529"/>
        <v>134.48275862068965</v>
      </c>
      <c r="AS836" s="204">
        <f>W836/V836*100</f>
        <v>100</v>
      </c>
      <c r="AT836" s="204">
        <f t="shared" si="530"/>
        <v>134.48275862068965</v>
      </c>
      <c r="AU836" s="204">
        <f t="shared" si="524"/>
        <v>71.794871794871796</v>
      </c>
      <c r="AV836" s="204">
        <f t="shared" si="531"/>
        <v>96.551724137931032</v>
      </c>
    </row>
    <row r="837" spans="1:48" ht="12" customHeight="1">
      <c r="A837" s="53"/>
      <c r="B837" s="53"/>
      <c r="C837" s="53"/>
      <c r="D837" s="53"/>
      <c r="E837" s="53"/>
      <c r="F837" s="53"/>
      <c r="G837" s="53"/>
      <c r="H837" s="1" t="s">
        <v>673</v>
      </c>
      <c r="I837" s="345">
        <v>820</v>
      </c>
      <c r="J837" s="229">
        <v>3299</v>
      </c>
      <c r="K837" s="18" t="s">
        <v>674</v>
      </c>
      <c r="L837" s="130"/>
      <c r="M837" s="130"/>
      <c r="N837" s="131"/>
      <c r="O837" s="131"/>
      <c r="P837" s="132"/>
      <c r="Q837" s="132"/>
      <c r="R837" s="159"/>
      <c r="S837" s="165" t="e">
        <f ca="1">__xlfn.XLOOKUP(H837,[1]Izvršenje_proračuna_po_pozicija!$B$2:$B$153,[1]Izvršenje_proračuna_po_pozicija!$E$2:$E$153,0)</f>
        <v>#NAME?</v>
      </c>
      <c r="T837" s="165"/>
      <c r="U837" s="165"/>
      <c r="V837" s="200"/>
      <c r="W837" s="200"/>
      <c r="X837" s="164"/>
      <c r="Y837" s="378"/>
      <c r="Z837" s="378"/>
      <c r="AA837" s="370" t="e">
        <f t="shared" ca="1" si="522"/>
        <v>#NAME?</v>
      </c>
      <c r="AB837" s="183"/>
      <c r="AC837" s="178"/>
      <c r="AD837" s="178"/>
      <c r="AE837" s="178"/>
      <c r="AF837" s="178"/>
      <c r="AG837" s="178"/>
      <c r="AH837" s="178"/>
      <c r="AI837" s="183"/>
      <c r="AJ837" s="378"/>
      <c r="AK837" s="171"/>
      <c r="AL837" s="171"/>
      <c r="AM837" s="171"/>
      <c r="AN837" s="165"/>
      <c r="AO837" s="460"/>
      <c r="AP837" s="193" t="e">
        <f t="shared" ca="1" si="521"/>
        <v>#NAME?</v>
      </c>
      <c r="AQ837" s="200">
        <v>33000</v>
      </c>
      <c r="AR837" s="204"/>
      <c r="AS837" s="204"/>
      <c r="AT837" s="204"/>
      <c r="AU837" s="204"/>
      <c r="AV837" s="204"/>
    </row>
    <row r="838" spans="1:48" ht="12" customHeight="1">
      <c r="A838" s="53"/>
      <c r="B838" s="53"/>
      <c r="C838" s="53"/>
      <c r="D838" s="53"/>
      <c r="E838" s="53"/>
      <c r="F838" s="53"/>
      <c r="G838" s="53"/>
      <c r="H838" s="1" t="s">
        <v>675</v>
      </c>
      <c r="I838" s="397">
        <v>820</v>
      </c>
      <c r="J838" s="229">
        <v>3299</v>
      </c>
      <c r="K838" s="18" t="s">
        <v>676</v>
      </c>
      <c r="L838" s="130">
        <v>7832</v>
      </c>
      <c r="M838" s="130">
        <f>7832/7.5345</f>
        <v>1039.4850355033511</v>
      </c>
      <c r="N838" s="131">
        <v>2238</v>
      </c>
      <c r="O838" s="131">
        <f>N838/7.5345</f>
        <v>297.03364523193306</v>
      </c>
      <c r="P838" s="132">
        <v>4000</v>
      </c>
      <c r="Q838" s="132">
        <v>4000</v>
      </c>
      <c r="R838" s="159">
        <v>0</v>
      </c>
      <c r="S838" s="165" t="e">
        <f ca="1">__xlfn.XLOOKUP(H838,[1]Izvršenje_proračuna_po_pozicija!$B$2:$B$153,[1]Izvršenje_proračuna_po_pozicija!$E$2:$E$153,0)</f>
        <v>#NAME?</v>
      </c>
      <c r="T838" s="165"/>
      <c r="U838" s="165"/>
      <c r="V838" s="200">
        <v>16000</v>
      </c>
      <c r="W838" s="200">
        <v>16000</v>
      </c>
      <c r="X838" s="164">
        <v>15000</v>
      </c>
      <c r="Y838" s="378">
        <v>17000</v>
      </c>
      <c r="Z838" s="378"/>
      <c r="AA838" s="370" t="e">
        <f t="shared" ca="1" si="522"/>
        <v>#NAME?</v>
      </c>
      <c r="AB838" s="183"/>
      <c r="AC838" s="178">
        <v>5000</v>
      </c>
      <c r="AD838" s="178">
        <v>5000</v>
      </c>
      <c r="AE838" s="178">
        <f>O838/M838*100</f>
        <v>28.575076608784471</v>
      </c>
      <c r="AF838" s="178"/>
      <c r="AG838" s="178"/>
      <c r="AH838" s="178"/>
      <c r="AI838" s="183"/>
      <c r="AJ838" s="378">
        <v>17000</v>
      </c>
      <c r="AK838" s="171"/>
      <c r="AL838" s="171">
        <f t="shared" si="512"/>
        <v>93.75</v>
      </c>
      <c r="AM838" s="171">
        <f t="shared" si="512"/>
        <v>113.33333333333333</v>
      </c>
      <c r="AN838" s="165"/>
      <c r="AO838" s="460"/>
      <c r="AP838" s="193" t="e">
        <f t="shared" ca="1" si="521"/>
        <v>#NAME?</v>
      </c>
      <c r="AQ838" s="200">
        <v>15375</v>
      </c>
      <c r="AR838" s="204"/>
      <c r="AS838" s="204">
        <f>W838/V838*100</f>
        <v>100</v>
      </c>
      <c r="AT838" s="204"/>
      <c r="AU838" s="204">
        <f t="shared" si="524"/>
        <v>96.09375</v>
      </c>
      <c r="AV838" s="204"/>
    </row>
    <row r="839" spans="1:48" ht="12" customHeight="1">
      <c r="A839" s="69"/>
      <c r="B839" s="69"/>
      <c r="C839" s="69"/>
      <c r="D839" s="69"/>
      <c r="E839" s="69"/>
      <c r="F839" s="69"/>
      <c r="G839" s="69"/>
      <c r="H839" s="436"/>
      <c r="I839" s="3"/>
      <c r="J839" s="7"/>
      <c r="K839" s="7"/>
      <c r="L839" s="85"/>
      <c r="M839" s="85"/>
      <c r="N839" s="86"/>
      <c r="O839" s="86"/>
      <c r="P839" s="87"/>
      <c r="Q839" s="87"/>
      <c r="R839" s="160"/>
      <c r="S839" s="165" t="e">
        <f ca="1">__xlfn.XLOOKUP(H839,[1]Izvršenje_proračuna_po_pozicija!$B$2:$B$153,[1]Izvršenje_proračuna_po_pozicija!$E$2:$E$153,0)</f>
        <v>#NAME?</v>
      </c>
      <c r="T839" s="165"/>
      <c r="U839" s="165"/>
      <c r="V839" s="200"/>
      <c r="W839" s="200"/>
      <c r="X839" s="361"/>
      <c r="Y839" s="373"/>
      <c r="Z839" s="373"/>
      <c r="AA839" s="370" t="e">
        <f t="shared" ca="1" si="522"/>
        <v>#NAME?</v>
      </c>
      <c r="AB839" s="181"/>
      <c r="AC839" s="182"/>
      <c r="AD839" s="182"/>
      <c r="AE839" s="178"/>
      <c r="AF839" s="178"/>
      <c r="AG839" s="178"/>
      <c r="AH839" s="178"/>
      <c r="AI839" s="181"/>
      <c r="AJ839" s="373"/>
      <c r="AK839" s="171"/>
      <c r="AL839" s="171"/>
      <c r="AM839" s="171"/>
      <c r="AN839" s="161"/>
      <c r="AO839" s="460"/>
      <c r="AP839" s="193" t="e">
        <f t="shared" ca="1" si="521"/>
        <v>#NAME?</v>
      </c>
      <c r="AQ839" s="200"/>
      <c r="AR839" s="204"/>
      <c r="AS839" s="204"/>
      <c r="AT839" s="204"/>
      <c r="AU839" s="204"/>
      <c r="AV839" s="204"/>
    </row>
    <row r="840" spans="1:48" ht="12" customHeight="1">
      <c r="A840" s="301"/>
      <c r="B840" s="301"/>
      <c r="C840" s="301"/>
      <c r="D840" s="301"/>
      <c r="E840" s="301"/>
      <c r="F840" s="301"/>
      <c r="G840" s="301"/>
      <c r="H840" s="307"/>
      <c r="I840" s="350"/>
      <c r="J840" s="302">
        <v>36</v>
      </c>
      <c r="K840" s="343" t="s">
        <v>677</v>
      </c>
      <c r="L840" s="112">
        <f t="shared" ref="L840:S841" si="541">L841</f>
        <v>110000</v>
      </c>
      <c r="M840" s="112">
        <f t="shared" si="541"/>
        <v>14599.508925608865</v>
      </c>
      <c r="N840" s="113">
        <f t="shared" si="541"/>
        <v>110000</v>
      </c>
      <c r="O840" s="113">
        <f t="shared" si="541"/>
        <v>14599.508925608865</v>
      </c>
      <c r="P840" s="114">
        <f t="shared" si="541"/>
        <v>14599.508925608865</v>
      </c>
      <c r="Q840" s="114">
        <f t="shared" si="541"/>
        <v>22800</v>
      </c>
      <c r="R840" s="88">
        <f t="shared" si="541"/>
        <v>18746</v>
      </c>
      <c r="S840" s="90" t="e">
        <f t="shared" ca="1" si="541"/>
        <v>#NAME?</v>
      </c>
      <c r="T840" s="90"/>
      <c r="U840" s="90"/>
      <c r="V840" s="200">
        <f>V841</f>
        <v>34500</v>
      </c>
      <c r="W840" s="200">
        <f t="shared" ref="W840:Z841" si="542">W841</f>
        <v>34500</v>
      </c>
      <c r="X840" s="88">
        <f t="shared" si="542"/>
        <v>34500</v>
      </c>
      <c r="Y840" s="171">
        <f t="shared" si="542"/>
        <v>35000</v>
      </c>
      <c r="Z840" s="171">
        <f t="shared" si="542"/>
        <v>0</v>
      </c>
      <c r="AA840" s="370" t="e">
        <f t="shared" ca="1" si="522"/>
        <v>#NAME?</v>
      </c>
      <c r="AB840" s="171"/>
      <c r="AC840" s="172">
        <f>AC841</f>
        <v>15000</v>
      </c>
      <c r="AD840" s="172">
        <f>AD841</f>
        <v>15000</v>
      </c>
      <c r="AE840" s="178">
        <f>O840/M840*100</f>
        <v>100</v>
      </c>
      <c r="AF840" s="178">
        <f t="shared" ref="AF840:AG842" si="543">P840/O840*100</f>
        <v>100</v>
      </c>
      <c r="AG840" s="178">
        <f t="shared" si="543"/>
        <v>156.16963636363636</v>
      </c>
      <c r="AH840" s="178">
        <f>AC840/Q840*100</f>
        <v>65.789473684210535</v>
      </c>
      <c r="AI840" s="171"/>
      <c r="AJ840" s="171">
        <v>35000</v>
      </c>
      <c r="AK840" s="171">
        <f t="shared" si="511"/>
        <v>184.03926170916463</v>
      </c>
      <c r="AL840" s="171">
        <f t="shared" si="512"/>
        <v>100</v>
      </c>
      <c r="AM840" s="171">
        <f t="shared" si="512"/>
        <v>101.44927536231884</v>
      </c>
      <c r="AN840" s="90"/>
      <c r="AO840" s="193"/>
      <c r="AP840" s="193" t="e">
        <f t="shared" ca="1" si="521"/>
        <v>#NAME?</v>
      </c>
      <c r="AQ840" s="200">
        <f>AQ841</f>
        <v>27124.19</v>
      </c>
      <c r="AR840" s="204">
        <f t="shared" si="529"/>
        <v>184.03926170916463</v>
      </c>
      <c r="AS840" s="204">
        <f>W840/V840*100</f>
        <v>100</v>
      </c>
      <c r="AT840" s="204">
        <f t="shared" si="530"/>
        <v>184.03926170916463</v>
      </c>
      <c r="AU840" s="204">
        <f t="shared" si="524"/>
        <v>78.620840579710134</v>
      </c>
      <c r="AV840" s="204">
        <f t="shared" si="531"/>
        <v>144.69321455243784</v>
      </c>
    </row>
    <row r="841" spans="1:48" ht="12" customHeight="1">
      <c r="A841" s="62"/>
      <c r="B841" s="62"/>
      <c r="C841" s="62"/>
      <c r="D841" s="62"/>
      <c r="E841" s="62"/>
      <c r="F841" s="62"/>
      <c r="G841" s="62"/>
      <c r="H841" s="304"/>
      <c r="I841" s="464"/>
      <c r="J841" s="303">
        <v>366</v>
      </c>
      <c r="K841" s="19" t="s">
        <v>678</v>
      </c>
      <c r="L841" s="112">
        <f t="shared" si="541"/>
        <v>110000</v>
      </c>
      <c r="M841" s="112">
        <f t="shared" si="541"/>
        <v>14599.508925608865</v>
      </c>
      <c r="N841" s="113">
        <f t="shared" si="541"/>
        <v>110000</v>
      </c>
      <c r="O841" s="113">
        <f t="shared" si="541"/>
        <v>14599.508925608865</v>
      </c>
      <c r="P841" s="114">
        <f t="shared" si="541"/>
        <v>14599.508925608865</v>
      </c>
      <c r="Q841" s="114">
        <f t="shared" si="541"/>
        <v>22800</v>
      </c>
      <c r="R841" s="88">
        <f t="shared" si="541"/>
        <v>18746</v>
      </c>
      <c r="S841" s="90" t="e">
        <f t="shared" ca="1" si="541"/>
        <v>#NAME?</v>
      </c>
      <c r="T841" s="90"/>
      <c r="U841" s="90"/>
      <c r="V841" s="200">
        <f>V842</f>
        <v>34500</v>
      </c>
      <c r="W841" s="200">
        <f t="shared" si="542"/>
        <v>34500</v>
      </c>
      <c r="X841" s="88">
        <f t="shared" si="542"/>
        <v>34500</v>
      </c>
      <c r="Y841" s="171">
        <f t="shared" si="542"/>
        <v>35000</v>
      </c>
      <c r="Z841" s="171">
        <f t="shared" si="542"/>
        <v>0</v>
      </c>
      <c r="AA841" s="370" t="e">
        <f t="shared" ca="1" si="522"/>
        <v>#NAME?</v>
      </c>
      <c r="AB841" s="171"/>
      <c r="AC841" s="172">
        <f>AC842</f>
        <v>15000</v>
      </c>
      <c r="AD841" s="172">
        <f>AD842</f>
        <v>15000</v>
      </c>
      <c r="AE841" s="178">
        <f>O841/M841*100</f>
        <v>100</v>
      </c>
      <c r="AF841" s="178">
        <f t="shared" si="543"/>
        <v>100</v>
      </c>
      <c r="AG841" s="178">
        <f t="shared" si="543"/>
        <v>156.16963636363636</v>
      </c>
      <c r="AH841" s="178">
        <f>AC841/Q841*100</f>
        <v>65.789473684210535</v>
      </c>
      <c r="AI841" s="171"/>
      <c r="AJ841" s="171">
        <v>35000</v>
      </c>
      <c r="AK841" s="171">
        <f t="shared" si="511"/>
        <v>184.03926170916463</v>
      </c>
      <c r="AL841" s="171">
        <f t="shared" si="512"/>
        <v>100</v>
      </c>
      <c r="AM841" s="171">
        <f t="shared" si="512"/>
        <v>101.44927536231884</v>
      </c>
      <c r="AN841" s="90"/>
      <c r="AO841" s="193"/>
      <c r="AP841" s="193" t="e">
        <f t="shared" ca="1" si="521"/>
        <v>#NAME?</v>
      </c>
      <c r="AQ841" s="200">
        <f>AQ842</f>
        <v>27124.19</v>
      </c>
      <c r="AR841" s="204">
        <f t="shared" si="529"/>
        <v>184.03926170916463</v>
      </c>
      <c r="AS841" s="204">
        <f>W841/V841*100</f>
        <v>100</v>
      </c>
      <c r="AT841" s="204">
        <f t="shared" si="530"/>
        <v>184.03926170916463</v>
      </c>
      <c r="AU841" s="204">
        <f t="shared" si="524"/>
        <v>78.620840579710134</v>
      </c>
      <c r="AV841" s="204">
        <f t="shared" si="531"/>
        <v>144.69321455243784</v>
      </c>
    </row>
    <row r="842" spans="1:48" ht="12" customHeight="1">
      <c r="A842" s="53"/>
      <c r="B842" s="53"/>
      <c r="C842" s="53"/>
      <c r="D842" s="53"/>
      <c r="E842" s="53"/>
      <c r="F842" s="53"/>
      <c r="G842" s="53"/>
      <c r="H842" s="1" t="s">
        <v>679</v>
      </c>
      <c r="I842" s="397">
        <v>820</v>
      </c>
      <c r="J842" s="229">
        <v>3661</v>
      </c>
      <c r="K842" s="18" t="s">
        <v>680</v>
      </c>
      <c r="L842" s="130">
        <v>110000</v>
      </c>
      <c r="M842" s="130">
        <f>110000/7.5345</f>
        <v>14599.508925608865</v>
      </c>
      <c r="N842" s="131">
        <v>110000</v>
      </c>
      <c r="O842" s="131">
        <f>N842/7.5345</f>
        <v>14599.508925608865</v>
      </c>
      <c r="P842" s="132">
        <f>110000/7.5345</f>
        <v>14599.508925608865</v>
      </c>
      <c r="Q842" s="163">
        <v>22800</v>
      </c>
      <c r="R842" s="159">
        <v>18746</v>
      </c>
      <c r="S842" s="165" t="e">
        <f ca="1">__xlfn.XLOOKUP(H842,[1]Izvršenje_proračuna_po_pozicija!$B$2:$B$153,[1]Izvršenje_proračuna_po_pozicija!$E$2:$E$153,0)</f>
        <v>#NAME?</v>
      </c>
      <c r="T842" s="165"/>
      <c r="U842" s="165"/>
      <c r="V842" s="200">
        <v>34500</v>
      </c>
      <c r="W842" s="200">
        <v>34500</v>
      </c>
      <c r="X842" s="164">
        <v>34500</v>
      </c>
      <c r="Y842" s="378">
        <v>35000</v>
      </c>
      <c r="Z842" s="378"/>
      <c r="AA842" s="370" t="e">
        <f t="shared" ca="1" si="522"/>
        <v>#NAME?</v>
      </c>
      <c r="AB842" s="183"/>
      <c r="AC842" s="178">
        <v>15000</v>
      </c>
      <c r="AD842" s="178">
        <v>15000</v>
      </c>
      <c r="AE842" s="178">
        <f>O842/M842*100</f>
        <v>100</v>
      </c>
      <c r="AF842" s="178">
        <f t="shared" si="543"/>
        <v>100</v>
      </c>
      <c r="AG842" s="178">
        <f t="shared" si="543"/>
        <v>156.16963636363636</v>
      </c>
      <c r="AH842" s="178">
        <f>AC842/Q842*100</f>
        <v>65.789473684210535</v>
      </c>
      <c r="AI842" s="183"/>
      <c r="AJ842" s="378">
        <v>35000</v>
      </c>
      <c r="AK842" s="171">
        <f t="shared" si="511"/>
        <v>184.03926170916463</v>
      </c>
      <c r="AL842" s="171">
        <f t="shared" si="512"/>
        <v>100</v>
      </c>
      <c r="AM842" s="171">
        <f t="shared" si="512"/>
        <v>101.44927536231884</v>
      </c>
      <c r="AN842" s="165"/>
      <c r="AO842" s="193"/>
      <c r="AP842" s="193" t="e">
        <f t="shared" ca="1" si="521"/>
        <v>#NAME?</v>
      </c>
      <c r="AQ842" s="200">
        <v>27124.19</v>
      </c>
      <c r="AR842" s="204">
        <f t="shared" si="529"/>
        <v>184.03926170916463</v>
      </c>
      <c r="AS842" s="204">
        <f>W842/V842*100</f>
        <v>100</v>
      </c>
      <c r="AT842" s="204">
        <f t="shared" si="530"/>
        <v>184.03926170916463</v>
      </c>
      <c r="AU842" s="204">
        <f t="shared" si="524"/>
        <v>78.620840579710134</v>
      </c>
      <c r="AV842" s="204">
        <f t="shared" si="531"/>
        <v>144.69321455243784</v>
      </c>
    </row>
    <row r="843" spans="1:48" ht="12" customHeight="1">
      <c r="A843" s="53"/>
      <c r="B843" s="53"/>
      <c r="C843" s="53"/>
      <c r="D843" s="53"/>
      <c r="E843" s="53"/>
      <c r="F843" s="53"/>
      <c r="G843" s="53"/>
      <c r="H843" s="1" t="s">
        <v>681</v>
      </c>
      <c r="I843" s="345">
        <v>820</v>
      </c>
      <c r="J843" s="229">
        <v>3661</v>
      </c>
      <c r="K843" s="456" t="s">
        <v>682</v>
      </c>
      <c r="L843" s="130"/>
      <c r="M843" s="130"/>
      <c r="N843" s="131"/>
      <c r="O843" s="131"/>
      <c r="P843" s="132"/>
      <c r="Q843" s="132"/>
      <c r="R843" s="159"/>
      <c r="S843" s="165" t="e">
        <f ca="1">__xlfn.XLOOKUP(H843,[1]Izvršenje_proračuna_po_pozicija!$B$2:$B$153,[1]Izvršenje_proračuna_po_pozicija!$E$2:$E$153,0)</f>
        <v>#NAME?</v>
      </c>
      <c r="T843" s="165"/>
      <c r="U843" s="165"/>
      <c r="V843" s="200"/>
      <c r="W843" s="200"/>
      <c r="X843" s="164"/>
      <c r="Y843" s="378"/>
      <c r="Z843" s="378"/>
      <c r="AA843" s="370" t="e">
        <f t="shared" ca="1" si="522"/>
        <v>#NAME?</v>
      </c>
      <c r="AB843" s="183"/>
      <c r="AC843" s="178"/>
      <c r="AD843" s="178"/>
      <c r="AE843" s="178"/>
      <c r="AF843" s="178"/>
      <c r="AG843" s="178"/>
      <c r="AH843" s="178"/>
      <c r="AI843" s="183"/>
      <c r="AJ843" s="378"/>
      <c r="AK843" s="171"/>
      <c r="AL843" s="171"/>
      <c r="AM843" s="171"/>
      <c r="AN843" s="165"/>
      <c r="AO843" s="193"/>
      <c r="AP843" s="193" t="e">
        <f t="shared" ca="1" si="521"/>
        <v>#NAME?</v>
      </c>
      <c r="AQ843" s="200"/>
      <c r="AR843" s="204"/>
      <c r="AS843" s="204"/>
      <c r="AT843" s="204"/>
      <c r="AU843" s="204"/>
      <c r="AV843" s="204"/>
    </row>
    <row r="844" spans="1:48" ht="12" customHeight="1">
      <c r="A844" s="53"/>
      <c r="B844" s="53"/>
      <c r="C844" s="53"/>
      <c r="D844" s="53"/>
      <c r="E844" s="53"/>
      <c r="F844" s="53"/>
      <c r="G844" s="53"/>
      <c r="H844" s="16"/>
      <c r="I844" s="411"/>
      <c r="J844" s="407"/>
      <c r="K844" s="507"/>
      <c r="L844" s="413"/>
      <c r="M844" s="413"/>
      <c r="N844" s="414"/>
      <c r="O844" s="414"/>
      <c r="P844" s="415"/>
      <c r="Q844" s="415"/>
      <c r="R844" s="421"/>
      <c r="S844" s="165" t="e">
        <f ca="1">__xlfn.XLOOKUP(H844,[1]Izvršenje_proračuna_po_pozicija!$B$2:$B$153,[1]Izvršenje_proračuna_po_pozicija!$E$2:$E$153,0)</f>
        <v>#NAME?</v>
      </c>
      <c r="T844" s="419"/>
      <c r="U844" s="419"/>
      <c r="V844" s="200"/>
      <c r="W844" s="200"/>
      <c r="X844" s="422"/>
      <c r="Y844" s="429"/>
      <c r="Z844" s="429"/>
      <c r="AA844" s="370" t="e">
        <f t="shared" ca="1" si="522"/>
        <v>#NAME?</v>
      </c>
      <c r="AB844" s="430"/>
      <c r="AC844" s="431"/>
      <c r="AD844" s="431"/>
      <c r="AE844" s="178"/>
      <c r="AF844" s="178"/>
      <c r="AG844" s="178"/>
      <c r="AH844" s="178"/>
      <c r="AI844" s="430"/>
      <c r="AJ844" s="429"/>
      <c r="AK844" s="171"/>
      <c r="AL844" s="171"/>
      <c r="AM844" s="171"/>
      <c r="AN844" s="419"/>
      <c r="AO844" s="193"/>
      <c r="AP844" s="193" t="e">
        <f t="shared" ca="1" si="521"/>
        <v>#NAME?</v>
      </c>
      <c r="AQ844" s="200"/>
      <c r="AR844" s="204"/>
      <c r="AS844" s="204"/>
      <c r="AT844" s="204"/>
      <c r="AU844" s="204"/>
      <c r="AV844" s="204"/>
    </row>
    <row r="845" spans="1:48" ht="12" customHeight="1">
      <c r="A845" s="390" t="s">
        <v>578</v>
      </c>
      <c r="B845" s="391"/>
      <c r="C845" s="391"/>
      <c r="D845" s="391"/>
      <c r="E845" s="391"/>
      <c r="F845" s="391"/>
      <c r="G845" s="391"/>
      <c r="H845" s="435"/>
      <c r="I845" s="482" t="s">
        <v>683</v>
      </c>
      <c r="J845" s="483"/>
      <c r="K845" s="484"/>
      <c r="L845" s="335">
        <f t="shared" ref="L845:S845" si="544">L847</f>
        <v>23125</v>
      </c>
      <c r="M845" s="335">
        <f t="shared" si="544"/>
        <v>3069.2149445882274</v>
      </c>
      <c r="N845" s="336">
        <f t="shared" si="544"/>
        <v>0</v>
      </c>
      <c r="O845" s="336">
        <f t="shared" si="544"/>
        <v>0</v>
      </c>
      <c r="P845" s="337">
        <f t="shared" si="544"/>
        <v>7000</v>
      </c>
      <c r="Q845" s="337">
        <f t="shared" si="544"/>
        <v>49900</v>
      </c>
      <c r="R845" s="359">
        <f t="shared" si="544"/>
        <v>35352</v>
      </c>
      <c r="S845" s="360" t="e">
        <f t="shared" ca="1" si="544"/>
        <v>#NAME?</v>
      </c>
      <c r="T845" s="360"/>
      <c r="U845" s="360"/>
      <c r="V845" s="200">
        <f>V847</f>
        <v>14000</v>
      </c>
      <c r="W845" s="200">
        <f>W847</f>
        <v>47697</v>
      </c>
      <c r="X845" s="359">
        <f>X847</f>
        <v>10000</v>
      </c>
      <c r="Y845" s="371">
        <f>Y847</f>
        <v>5000</v>
      </c>
      <c r="Z845" s="371">
        <f>Z847</f>
        <v>0</v>
      </c>
      <c r="AA845" s="370" t="e">
        <f t="shared" ca="1" si="522"/>
        <v>#NAME?</v>
      </c>
      <c r="AB845" s="371"/>
      <c r="AC845" s="372">
        <f>AC847</f>
        <v>7000</v>
      </c>
      <c r="AD845" s="372">
        <f>AD847</f>
        <v>7000</v>
      </c>
      <c r="AE845" s="178">
        <f>O845/M845*100</f>
        <v>0</v>
      </c>
      <c r="AF845" s="178"/>
      <c r="AG845" s="178"/>
      <c r="AH845" s="178"/>
      <c r="AI845" s="371"/>
      <c r="AJ845" s="371">
        <v>5000</v>
      </c>
      <c r="AK845" s="171">
        <f t="shared" si="511"/>
        <v>134.9202308214528</v>
      </c>
      <c r="AL845" s="171">
        <f t="shared" si="512"/>
        <v>20.965679183177137</v>
      </c>
      <c r="AM845" s="171">
        <f t="shared" si="512"/>
        <v>50</v>
      </c>
      <c r="AN845" s="360"/>
      <c r="AO845" s="193"/>
      <c r="AP845" s="193" t="e">
        <f t="shared" ca="1" si="521"/>
        <v>#NAME?</v>
      </c>
      <c r="AQ845" s="200">
        <f>AQ847</f>
        <v>47696.76</v>
      </c>
      <c r="AR845" s="204">
        <f t="shared" si="529"/>
        <v>39.601719846119032</v>
      </c>
      <c r="AS845" s="204"/>
      <c r="AT845" s="204">
        <f t="shared" si="530"/>
        <v>134.9202308214528</v>
      </c>
      <c r="AU845" s="204">
        <f t="shared" si="524"/>
        <v>99.999496823699602</v>
      </c>
      <c r="AV845" s="204">
        <f t="shared" si="531"/>
        <v>134.9195519348269</v>
      </c>
    </row>
    <row r="846" spans="1:48" ht="12" customHeight="1">
      <c r="A846" s="53"/>
      <c r="B846" s="53"/>
      <c r="C846" s="53"/>
      <c r="D846" s="53"/>
      <c r="E846" s="53"/>
      <c r="F846" s="53"/>
      <c r="G846" s="53"/>
      <c r="H846" s="1"/>
      <c r="I846" s="397"/>
      <c r="J846" s="229"/>
      <c r="K846" s="18"/>
      <c r="L846" s="466"/>
      <c r="M846" s="466"/>
      <c r="N846" s="467"/>
      <c r="O846" s="467"/>
      <c r="P846" s="468"/>
      <c r="Q846" s="468"/>
      <c r="R846" s="282"/>
      <c r="S846" s="165" t="e">
        <f ca="1">__xlfn.XLOOKUP(H846,[1]Izvršenje_proračuna_po_pozicija!$B$2:$B$153,[1]Izvršenje_proračuna_po_pozicija!$E$2:$E$153,0)</f>
        <v>#NAME?</v>
      </c>
      <c r="T846" s="165"/>
      <c r="U846" s="165"/>
      <c r="V846" s="200"/>
      <c r="W846" s="200"/>
      <c r="X846" s="167"/>
      <c r="Y846" s="424"/>
      <c r="Z846" s="424"/>
      <c r="AA846" s="370" t="e">
        <f t="shared" ca="1" si="522"/>
        <v>#NAME?</v>
      </c>
      <c r="AB846" s="223"/>
      <c r="AC846" s="224"/>
      <c r="AD846" s="224"/>
      <c r="AE846" s="178"/>
      <c r="AF846" s="178"/>
      <c r="AG846" s="178"/>
      <c r="AH846" s="178"/>
      <c r="AI846" s="223"/>
      <c r="AJ846" s="424"/>
      <c r="AK846" s="171"/>
      <c r="AL846" s="171"/>
      <c r="AM846" s="171"/>
      <c r="AN846" s="222"/>
      <c r="AO846" s="193"/>
      <c r="AP846" s="193" t="e">
        <f t="shared" ca="1" si="521"/>
        <v>#NAME?</v>
      </c>
      <c r="AQ846" s="200"/>
      <c r="AR846" s="204"/>
      <c r="AS846" s="204"/>
      <c r="AT846" s="204"/>
      <c r="AU846" s="204"/>
      <c r="AV846" s="204"/>
    </row>
    <row r="847" spans="1:48" ht="12" customHeight="1">
      <c r="A847" s="24"/>
      <c r="B847" s="24"/>
      <c r="C847" s="24"/>
      <c r="D847" s="24"/>
      <c r="E847" s="24"/>
      <c r="F847" s="24"/>
      <c r="G847" s="24"/>
      <c r="H847" s="393"/>
      <c r="I847" s="465"/>
      <c r="J847" s="281">
        <v>3</v>
      </c>
      <c r="K847" s="2" t="s">
        <v>224</v>
      </c>
      <c r="L847" s="112">
        <f t="shared" ref="L847:AD848" si="545">L848</f>
        <v>23125</v>
      </c>
      <c r="M847" s="112">
        <f t="shared" si="545"/>
        <v>3069.2149445882274</v>
      </c>
      <c r="N847" s="113">
        <f t="shared" si="545"/>
        <v>0</v>
      </c>
      <c r="O847" s="113">
        <f t="shared" si="545"/>
        <v>0</v>
      </c>
      <c r="P847" s="114">
        <f t="shared" si="545"/>
        <v>7000</v>
      </c>
      <c r="Q847" s="114">
        <f t="shared" si="545"/>
        <v>49900</v>
      </c>
      <c r="R847" s="88">
        <f t="shared" si="545"/>
        <v>35352</v>
      </c>
      <c r="S847" s="90" t="e">
        <f t="shared" ca="1" si="545"/>
        <v>#NAME?</v>
      </c>
      <c r="T847" s="90"/>
      <c r="U847" s="90"/>
      <c r="V847" s="200">
        <f>V848</f>
        <v>14000</v>
      </c>
      <c r="W847" s="200">
        <f t="shared" si="545"/>
        <v>47697</v>
      </c>
      <c r="X847" s="88">
        <f t="shared" si="545"/>
        <v>10000</v>
      </c>
      <c r="Y847" s="171">
        <f t="shared" si="545"/>
        <v>5000</v>
      </c>
      <c r="Z847" s="171">
        <f t="shared" si="545"/>
        <v>0</v>
      </c>
      <c r="AA847" s="370" t="e">
        <f t="shared" ca="1" si="522"/>
        <v>#NAME?</v>
      </c>
      <c r="AB847" s="171"/>
      <c r="AC847" s="172">
        <f t="shared" si="545"/>
        <v>7000</v>
      </c>
      <c r="AD847" s="172">
        <f t="shared" si="545"/>
        <v>7000</v>
      </c>
      <c r="AE847" s="178">
        <f>O847/M847*100</f>
        <v>0</v>
      </c>
      <c r="AF847" s="178"/>
      <c r="AG847" s="178"/>
      <c r="AH847" s="178"/>
      <c r="AI847" s="171"/>
      <c r="AJ847" s="171">
        <v>5000</v>
      </c>
      <c r="AK847" s="171">
        <f t="shared" si="511"/>
        <v>134.9202308214528</v>
      </c>
      <c r="AL847" s="171">
        <f t="shared" si="512"/>
        <v>20.965679183177137</v>
      </c>
      <c r="AM847" s="171">
        <f t="shared" si="512"/>
        <v>50</v>
      </c>
      <c r="AN847" s="90"/>
      <c r="AO847" s="193"/>
      <c r="AP847" s="193" t="e">
        <f t="shared" ca="1" si="521"/>
        <v>#NAME?</v>
      </c>
      <c r="AQ847" s="200">
        <f>AQ848</f>
        <v>47696.76</v>
      </c>
      <c r="AR847" s="204">
        <f t="shared" si="529"/>
        <v>39.601719846119032</v>
      </c>
      <c r="AS847" s="204"/>
      <c r="AT847" s="204">
        <f t="shared" si="530"/>
        <v>134.9202308214528</v>
      </c>
      <c r="AU847" s="204">
        <f t="shared" si="524"/>
        <v>99.999496823699602</v>
      </c>
      <c r="AV847" s="204">
        <f t="shared" si="531"/>
        <v>134.9195519348269</v>
      </c>
    </row>
    <row r="848" spans="1:48" ht="12" customHeight="1">
      <c r="A848" s="301"/>
      <c r="B848" s="301"/>
      <c r="C848" s="301"/>
      <c r="D848" s="301"/>
      <c r="E848" s="301"/>
      <c r="F848" s="301"/>
      <c r="G848" s="301"/>
      <c r="H848" s="307"/>
      <c r="I848" s="350"/>
      <c r="J848" s="302">
        <v>32</v>
      </c>
      <c r="K848" s="343" t="s">
        <v>233</v>
      </c>
      <c r="L848" s="112">
        <f t="shared" si="545"/>
        <v>23125</v>
      </c>
      <c r="M848" s="112">
        <f t="shared" si="545"/>
        <v>3069.2149445882274</v>
      </c>
      <c r="N848" s="113">
        <f t="shared" si="545"/>
        <v>0</v>
      </c>
      <c r="O848" s="113">
        <f t="shared" si="545"/>
        <v>0</v>
      </c>
      <c r="P848" s="114">
        <f t="shared" si="545"/>
        <v>7000</v>
      </c>
      <c r="Q848" s="114">
        <f t="shared" si="545"/>
        <v>49900</v>
      </c>
      <c r="R848" s="88">
        <f t="shared" si="545"/>
        <v>35352</v>
      </c>
      <c r="S848" s="90" t="e">
        <f t="shared" ca="1" si="545"/>
        <v>#NAME?</v>
      </c>
      <c r="T848" s="90"/>
      <c r="U848" s="90"/>
      <c r="V848" s="200">
        <f>V849</f>
        <v>14000</v>
      </c>
      <c r="W848" s="200">
        <f t="shared" si="545"/>
        <v>47697</v>
      </c>
      <c r="X848" s="88">
        <f t="shared" si="545"/>
        <v>10000</v>
      </c>
      <c r="Y848" s="171">
        <f t="shared" si="545"/>
        <v>5000</v>
      </c>
      <c r="Z848" s="171">
        <f t="shared" si="545"/>
        <v>0</v>
      </c>
      <c r="AA848" s="370" t="e">
        <f t="shared" ca="1" si="522"/>
        <v>#NAME?</v>
      </c>
      <c r="AB848" s="171"/>
      <c r="AC848" s="172">
        <f t="shared" si="545"/>
        <v>7000</v>
      </c>
      <c r="AD848" s="172">
        <f t="shared" si="545"/>
        <v>7000</v>
      </c>
      <c r="AE848" s="178">
        <f>O848/M848*100</f>
        <v>0</v>
      </c>
      <c r="AF848" s="178"/>
      <c r="AG848" s="178"/>
      <c r="AH848" s="178"/>
      <c r="AI848" s="171"/>
      <c r="AJ848" s="171">
        <v>5000</v>
      </c>
      <c r="AK848" s="171">
        <f t="shared" si="511"/>
        <v>134.9202308214528</v>
      </c>
      <c r="AL848" s="171">
        <f t="shared" si="512"/>
        <v>20.965679183177137</v>
      </c>
      <c r="AM848" s="171">
        <f t="shared" si="512"/>
        <v>50</v>
      </c>
      <c r="AN848" s="90"/>
      <c r="AO848" s="193"/>
      <c r="AP848" s="193" t="e">
        <f t="shared" ca="1" si="521"/>
        <v>#NAME?</v>
      </c>
      <c r="AQ848" s="200">
        <f>AQ849</f>
        <v>47696.76</v>
      </c>
      <c r="AR848" s="204">
        <f t="shared" si="529"/>
        <v>39.601719846119032</v>
      </c>
      <c r="AS848" s="204"/>
      <c r="AT848" s="204">
        <f t="shared" si="530"/>
        <v>134.9202308214528</v>
      </c>
      <c r="AU848" s="204">
        <f t="shared" si="524"/>
        <v>99.999496823699602</v>
      </c>
      <c r="AV848" s="204">
        <f t="shared" si="531"/>
        <v>134.9195519348269</v>
      </c>
    </row>
    <row r="849" spans="1:48" ht="12" customHeight="1">
      <c r="A849" s="62"/>
      <c r="B849" s="62"/>
      <c r="C849" s="62"/>
      <c r="D849" s="62"/>
      <c r="E849" s="62"/>
      <c r="F849" s="62"/>
      <c r="G849" s="62"/>
      <c r="H849" s="304"/>
      <c r="I849" s="464"/>
      <c r="J849" s="303">
        <v>323</v>
      </c>
      <c r="K849" s="19" t="s">
        <v>356</v>
      </c>
      <c r="L849" s="112">
        <f t="shared" ref="L849:S849" si="546">L850+L851+L852</f>
        <v>23125</v>
      </c>
      <c r="M849" s="112">
        <f t="shared" si="546"/>
        <v>3069.2149445882274</v>
      </c>
      <c r="N849" s="113">
        <f t="shared" si="546"/>
        <v>0</v>
      </c>
      <c r="O849" s="113">
        <f t="shared" si="546"/>
        <v>0</v>
      </c>
      <c r="P849" s="114">
        <f t="shared" si="546"/>
        <v>7000</v>
      </c>
      <c r="Q849" s="114">
        <f t="shared" si="546"/>
        <v>49900</v>
      </c>
      <c r="R849" s="88">
        <f t="shared" si="546"/>
        <v>35352</v>
      </c>
      <c r="S849" s="90" t="e">
        <f t="shared" ca="1" si="546"/>
        <v>#NAME?</v>
      </c>
      <c r="T849" s="90"/>
      <c r="U849" s="90"/>
      <c r="V849" s="200">
        <f>V850+V851+V852</f>
        <v>14000</v>
      </c>
      <c r="W849" s="200">
        <f>W850+W851+W852</f>
        <v>47697</v>
      </c>
      <c r="X849" s="88">
        <f>X850+X851+X852</f>
        <v>10000</v>
      </c>
      <c r="Y849" s="171">
        <f>Y850+Y851+Y852</f>
        <v>5000</v>
      </c>
      <c r="Z849" s="171">
        <f>Z850+Z851+Z852</f>
        <v>0</v>
      </c>
      <c r="AA849" s="370" t="e">
        <f t="shared" ca="1" si="522"/>
        <v>#NAME?</v>
      </c>
      <c r="AB849" s="171"/>
      <c r="AC849" s="172">
        <f>AC850+AC851+AC852</f>
        <v>7000</v>
      </c>
      <c r="AD849" s="172">
        <f>AD850+AD851+AD852</f>
        <v>7000</v>
      </c>
      <c r="AE849" s="178">
        <f>O849/M849*100</f>
        <v>0</v>
      </c>
      <c r="AF849" s="178"/>
      <c r="AG849" s="178"/>
      <c r="AH849" s="178"/>
      <c r="AI849" s="171"/>
      <c r="AJ849" s="171">
        <v>5000</v>
      </c>
      <c r="AK849" s="171">
        <f t="shared" si="511"/>
        <v>134.9202308214528</v>
      </c>
      <c r="AL849" s="171">
        <f t="shared" si="512"/>
        <v>20.965679183177137</v>
      </c>
      <c r="AM849" s="171">
        <f t="shared" si="512"/>
        <v>50</v>
      </c>
      <c r="AN849" s="90"/>
      <c r="AO849" s="460"/>
      <c r="AP849" s="193" t="e">
        <f t="shared" ca="1" si="521"/>
        <v>#NAME?</v>
      </c>
      <c r="AQ849" s="200">
        <f>AQ850+AQ851+AQ852</f>
        <v>47696.76</v>
      </c>
      <c r="AR849" s="204">
        <f t="shared" si="529"/>
        <v>39.601719846119032</v>
      </c>
      <c r="AS849" s="204"/>
      <c r="AT849" s="204">
        <f t="shared" si="530"/>
        <v>134.9202308214528</v>
      </c>
      <c r="AU849" s="204">
        <f t="shared" si="524"/>
        <v>99.999496823699602</v>
      </c>
      <c r="AV849" s="204">
        <f t="shared" si="531"/>
        <v>134.9195519348269</v>
      </c>
    </row>
    <row r="850" spans="1:48" ht="12" customHeight="1">
      <c r="A850" s="53"/>
      <c r="B850" s="53"/>
      <c r="C850" s="53"/>
      <c r="D850" s="53"/>
      <c r="E850" s="53"/>
      <c r="F850" s="53"/>
      <c r="G850" s="53"/>
      <c r="H850" s="1">
        <v>109</v>
      </c>
      <c r="I850" s="397">
        <v>820</v>
      </c>
      <c r="J850" s="229">
        <v>3232</v>
      </c>
      <c r="K850" s="18" t="s">
        <v>684</v>
      </c>
      <c r="L850" s="130">
        <v>0</v>
      </c>
      <c r="M850" s="130">
        <v>0</v>
      </c>
      <c r="N850" s="131">
        <v>0</v>
      </c>
      <c r="O850" s="131">
        <v>0</v>
      </c>
      <c r="P850" s="132">
        <v>0</v>
      </c>
      <c r="Q850" s="163">
        <v>49900</v>
      </c>
      <c r="R850" s="159">
        <v>35352</v>
      </c>
      <c r="S850" s="165" t="e">
        <f ca="1">__xlfn.XLOOKUP(H850,[1]Izvršenje_proračuna_po_pozicija!$B$2:$B$153,[1]Izvršenje_proračuna_po_pozicija!$E$2:$E$153,0)</f>
        <v>#NAME?</v>
      </c>
      <c r="T850" s="165"/>
      <c r="U850" s="165"/>
      <c r="V850" s="200">
        <v>14000</v>
      </c>
      <c r="W850" s="200">
        <v>47697</v>
      </c>
      <c r="X850" s="164">
        <v>10000</v>
      </c>
      <c r="Y850" s="378">
        <v>5000</v>
      </c>
      <c r="Z850" s="378"/>
      <c r="AA850" s="370" t="e">
        <f t="shared" ca="1" si="522"/>
        <v>#NAME?</v>
      </c>
      <c r="AB850" s="183"/>
      <c r="AC850" s="178">
        <v>0</v>
      </c>
      <c r="AD850" s="178">
        <v>0</v>
      </c>
      <c r="AE850" s="178"/>
      <c r="AF850" s="178"/>
      <c r="AG850" s="178"/>
      <c r="AH850" s="178"/>
      <c r="AI850" s="183"/>
      <c r="AJ850" s="378">
        <v>5000</v>
      </c>
      <c r="AK850" s="171">
        <f t="shared" si="511"/>
        <v>134.9202308214528</v>
      </c>
      <c r="AL850" s="171">
        <f t="shared" si="512"/>
        <v>20.965679183177137</v>
      </c>
      <c r="AM850" s="171">
        <f t="shared" si="512"/>
        <v>50</v>
      </c>
      <c r="AN850" s="165"/>
      <c r="AO850" s="193"/>
      <c r="AP850" s="193" t="e">
        <f t="shared" ca="1" si="521"/>
        <v>#NAME?</v>
      </c>
      <c r="AQ850" s="200">
        <v>47696.76</v>
      </c>
      <c r="AR850" s="204">
        <f t="shared" si="529"/>
        <v>39.601719846119032</v>
      </c>
      <c r="AS850" s="204"/>
      <c r="AT850" s="204">
        <f t="shared" si="530"/>
        <v>134.9202308214528</v>
      </c>
      <c r="AU850" s="204">
        <f t="shared" si="524"/>
        <v>99.999496823699602</v>
      </c>
      <c r="AV850" s="204">
        <f t="shared" si="531"/>
        <v>134.9195519348269</v>
      </c>
    </row>
    <row r="851" spans="1:48" ht="12" customHeight="1">
      <c r="A851" s="53"/>
      <c r="B851" s="53"/>
      <c r="C851" s="53"/>
      <c r="D851" s="53"/>
      <c r="E851" s="53"/>
      <c r="F851" s="53"/>
      <c r="G851" s="53"/>
      <c r="H851" s="1" t="s">
        <v>685</v>
      </c>
      <c r="I851" s="397">
        <v>820</v>
      </c>
      <c r="J851" s="229">
        <v>3232</v>
      </c>
      <c r="K851" s="18" t="s">
        <v>686</v>
      </c>
      <c r="L851" s="130">
        <v>23125</v>
      </c>
      <c r="M851" s="130">
        <f>23125/7.5345</f>
        <v>3069.2149445882274</v>
      </c>
      <c r="N851" s="131"/>
      <c r="O851" s="131"/>
      <c r="P851" s="132"/>
      <c r="Q851" s="132"/>
      <c r="R851" s="159"/>
      <c r="S851" s="165" t="e">
        <f ca="1">__xlfn.XLOOKUP(H851,[1]Izvršenje_proračuna_po_pozicija!$B$2:$B$153,[1]Izvršenje_proračuna_po_pozicija!$E$2:$E$153,0)</f>
        <v>#NAME?</v>
      </c>
      <c r="T851" s="165"/>
      <c r="U851" s="165"/>
      <c r="V851" s="200"/>
      <c r="W851" s="200"/>
      <c r="X851" s="164"/>
      <c r="Y851" s="378"/>
      <c r="Z851" s="378"/>
      <c r="AA851" s="370" t="e">
        <f t="shared" ca="1" si="522"/>
        <v>#NAME?</v>
      </c>
      <c r="AB851" s="183"/>
      <c r="AC851" s="178"/>
      <c r="AD851" s="178"/>
      <c r="AE851" s="178">
        <f>O851/M851*100</f>
        <v>0</v>
      </c>
      <c r="AF851" s="178"/>
      <c r="AG851" s="178"/>
      <c r="AH851" s="178"/>
      <c r="AI851" s="183"/>
      <c r="AJ851" s="378"/>
      <c r="AK851" s="171"/>
      <c r="AL851" s="171"/>
      <c r="AM851" s="171"/>
      <c r="AN851" s="165"/>
      <c r="AO851" s="193"/>
      <c r="AP851" s="193" t="e">
        <f t="shared" ca="1" si="521"/>
        <v>#NAME?</v>
      </c>
      <c r="AQ851" s="200"/>
      <c r="AR851" s="204"/>
      <c r="AS851" s="204"/>
      <c r="AT851" s="204"/>
      <c r="AU851" s="204"/>
      <c r="AV851" s="204"/>
    </row>
    <row r="852" spans="1:48" ht="12" customHeight="1">
      <c r="A852" s="53"/>
      <c r="B852" s="53"/>
      <c r="C852" s="53"/>
      <c r="D852" s="53"/>
      <c r="E852" s="53"/>
      <c r="F852" s="53"/>
      <c r="G852" s="53"/>
      <c r="H852" s="1" t="s">
        <v>687</v>
      </c>
      <c r="I852" s="397">
        <v>820</v>
      </c>
      <c r="J852" s="229">
        <v>3239</v>
      </c>
      <c r="K852" s="18" t="s">
        <v>688</v>
      </c>
      <c r="L852" s="130">
        <v>0</v>
      </c>
      <c r="M852" s="130">
        <v>0</v>
      </c>
      <c r="N852" s="131">
        <v>0</v>
      </c>
      <c r="O852" s="131">
        <v>0</v>
      </c>
      <c r="P852" s="132">
        <v>7000</v>
      </c>
      <c r="Q852" s="163">
        <v>0</v>
      </c>
      <c r="R852" s="159">
        <v>0</v>
      </c>
      <c r="S852" s="165" t="e">
        <f ca="1">__xlfn.XLOOKUP(H852,[1]Izvršenje_proračuna_po_pozicija!$B$2:$B$153,[1]Izvršenje_proračuna_po_pozicija!$E$2:$E$153,0)</f>
        <v>#NAME?</v>
      </c>
      <c r="T852" s="165"/>
      <c r="U852" s="165"/>
      <c r="V852" s="200"/>
      <c r="W852" s="200"/>
      <c r="X852" s="164"/>
      <c r="Y852" s="378"/>
      <c r="Z852" s="378"/>
      <c r="AA852" s="370" t="e">
        <f t="shared" ca="1" si="522"/>
        <v>#NAME?</v>
      </c>
      <c r="AB852" s="183"/>
      <c r="AC852" s="178">
        <v>7000</v>
      </c>
      <c r="AD852" s="178">
        <v>7000</v>
      </c>
      <c r="AE852" s="178"/>
      <c r="AF852" s="178"/>
      <c r="AG852" s="178"/>
      <c r="AH852" s="178"/>
      <c r="AI852" s="183"/>
      <c r="AJ852" s="378"/>
      <c r="AK852" s="171"/>
      <c r="AL852" s="171"/>
      <c r="AM852" s="171"/>
      <c r="AN852" s="165"/>
      <c r="AO852" s="193"/>
      <c r="AP852" s="193" t="e">
        <f t="shared" ca="1" si="521"/>
        <v>#NAME?</v>
      </c>
      <c r="AQ852" s="200"/>
      <c r="AR852" s="204"/>
      <c r="AS852" s="204"/>
      <c r="AT852" s="204"/>
      <c r="AU852" s="204"/>
      <c r="AV852" s="204"/>
    </row>
    <row r="853" spans="1:48" ht="12" customHeight="1">
      <c r="A853" s="69"/>
      <c r="B853" s="69"/>
      <c r="C853" s="69"/>
      <c r="D853" s="69"/>
      <c r="E853" s="69"/>
      <c r="F853" s="69"/>
      <c r="G853" s="69"/>
      <c r="H853" s="436"/>
      <c r="I853" s="3"/>
      <c r="J853" s="7"/>
      <c r="K853" s="7"/>
      <c r="L853" s="85"/>
      <c r="M853" s="85"/>
      <c r="N853" s="86"/>
      <c r="O853" s="86"/>
      <c r="P853" s="87"/>
      <c r="Q853" s="87"/>
      <c r="R853" s="160"/>
      <c r="S853" s="165" t="e">
        <f ca="1">__xlfn.XLOOKUP(H853,[1]Izvršenje_proračuna_po_pozicija!$B$2:$B$153,[1]Izvršenje_proračuna_po_pozicija!$E$2:$E$153,0)</f>
        <v>#NAME?</v>
      </c>
      <c r="T853" s="165"/>
      <c r="U853" s="165"/>
      <c r="V853" s="200"/>
      <c r="W853" s="200"/>
      <c r="X853" s="361"/>
      <c r="Y853" s="373"/>
      <c r="Z853" s="373"/>
      <c r="AA853" s="370" t="e">
        <f t="shared" ca="1" si="522"/>
        <v>#NAME?</v>
      </c>
      <c r="AB853" s="181"/>
      <c r="AC853" s="182"/>
      <c r="AD853" s="182"/>
      <c r="AE853" s="178"/>
      <c r="AF853" s="178"/>
      <c r="AG853" s="178"/>
      <c r="AH853" s="178"/>
      <c r="AI853" s="181"/>
      <c r="AJ853" s="373"/>
      <c r="AK853" s="171"/>
      <c r="AL853" s="171"/>
      <c r="AM853" s="171"/>
      <c r="AN853" s="161"/>
      <c r="AO853" s="193"/>
      <c r="AP853" s="193" t="e">
        <f t="shared" ca="1" si="521"/>
        <v>#NAME?</v>
      </c>
      <c r="AQ853" s="200"/>
      <c r="AR853" s="204"/>
      <c r="AS853" s="204"/>
      <c r="AT853" s="204"/>
      <c r="AU853" s="204"/>
      <c r="AV853" s="204"/>
    </row>
    <row r="854" spans="1:48" ht="12" customHeight="1">
      <c r="A854" s="390" t="s">
        <v>689</v>
      </c>
      <c r="B854" s="391"/>
      <c r="C854" s="391"/>
      <c r="D854" s="391"/>
      <c r="E854" s="391"/>
      <c r="F854" s="391"/>
      <c r="G854" s="391"/>
      <c r="H854" s="392"/>
      <c r="I854" s="485" t="s">
        <v>690</v>
      </c>
      <c r="J854" s="486"/>
      <c r="K854" s="300"/>
      <c r="L854" s="112">
        <f t="shared" ref="L854:S854" si="547">L856</f>
        <v>142000</v>
      </c>
      <c r="M854" s="112">
        <f t="shared" si="547"/>
        <v>18846.638794876897</v>
      </c>
      <c r="N854" s="113">
        <f t="shared" si="547"/>
        <v>184000</v>
      </c>
      <c r="O854" s="113">
        <f t="shared" si="547"/>
        <v>24420.996748291192</v>
      </c>
      <c r="P854" s="114">
        <f t="shared" si="547"/>
        <v>25300</v>
      </c>
      <c r="Q854" s="114">
        <f t="shared" si="547"/>
        <v>25300</v>
      </c>
      <c r="R854" s="88">
        <f t="shared" si="547"/>
        <v>24800</v>
      </c>
      <c r="S854" s="90" t="e">
        <f t="shared" ca="1" si="547"/>
        <v>#NAME?</v>
      </c>
      <c r="T854" s="90"/>
      <c r="U854" s="90"/>
      <c r="V854" s="200">
        <f>V856</f>
        <v>27800</v>
      </c>
      <c r="W854" s="200">
        <f>W856</f>
        <v>27800</v>
      </c>
      <c r="X854" s="88">
        <f>X856</f>
        <v>32000</v>
      </c>
      <c r="Y854" s="171" t="e">
        <f ca="1">Y856</f>
        <v>#NAME?</v>
      </c>
      <c r="Z854" s="171" t="e">
        <f ca="1">Z856</f>
        <v>#NAME?</v>
      </c>
      <c r="AA854" s="370" t="e">
        <f t="shared" ca="1" si="522"/>
        <v>#NAME?</v>
      </c>
      <c r="AB854" s="171"/>
      <c r="AC854" s="172">
        <f>AC856</f>
        <v>26000</v>
      </c>
      <c r="AD854" s="172">
        <f>AD856</f>
        <v>26000</v>
      </c>
      <c r="AE854" s="178">
        <f>O854/M854*100</f>
        <v>129.57746478873241</v>
      </c>
      <c r="AF854" s="178">
        <f>P854/O854*100</f>
        <v>103.59937500000001</v>
      </c>
      <c r="AG854" s="178">
        <f>Q854/P854*100</f>
        <v>100</v>
      </c>
      <c r="AH854" s="178">
        <f>AC854/Q854*100</f>
        <v>102.76679841897234</v>
      </c>
      <c r="AI854" s="171"/>
      <c r="AJ854" s="171">
        <v>35000</v>
      </c>
      <c r="AK854" s="171">
        <f t="shared" ref="AK854:AK913" si="548">W854/R854*100</f>
        <v>112.09677419354837</v>
      </c>
      <c r="AL854" s="171">
        <f t="shared" ref="AL854:AM913" si="549">X854/W854*100</f>
        <v>115.10791366906474</v>
      </c>
      <c r="AM854" s="171" t="e">
        <f t="shared" ca="1" si="549"/>
        <v>#NAME?</v>
      </c>
      <c r="AN854" s="90"/>
      <c r="AO854" s="193"/>
      <c r="AP854" s="193" t="e">
        <f t="shared" ca="1" si="521"/>
        <v>#NAME?</v>
      </c>
      <c r="AQ854" s="200">
        <f>AQ856</f>
        <v>27600</v>
      </c>
      <c r="AR854" s="204">
        <f t="shared" si="529"/>
        <v>112.09677419354837</v>
      </c>
      <c r="AS854" s="204">
        <f>W854/V854*100</f>
        <v>100</v>
      </c>
      <c r="AT854" s="204">
        <f t="shared" si="530"/>
        <v>112.09677419354837</v>
      </c>
      <c r="AU854" s="204">
        <f t="shared" si="524"/>
        <v>99.280575539568346</v>
      </c>
      <c r="AV854" s="204">
        <f t="shared" si="531"/>
        <v>111.29032258064515</v>
      </c>
    </row>
    <row r="855" spans="1:48" ht="12" customHeight="1">
      <c r="A855" s="42"/>
      <c r="B855" s="42"/>
      <c r="C855" s="42"/>
      <c r="D855" s="42"/>
      <c r="E855" s="42"/>
      <c r="F855" s="42"/>
      <c r="G855" s="42"/>
      <c r="H855" s="308"/>
      <c r="I855" s="14"/>
      <c r="J855" s="2"/>
      <c r="K855" s="84"/>
      <c r="L855" s="85">
        <v>1</v>
      </c>
      <c r="M855" s="85">
        <v>2</v>
      </c>
      <c r="N855" s="86">
        <v>3</v>
      </c>
      <c r="O855" s="86">
        <v>4</v>
      </c>
      <c r="P855" s="87">
        <v>5</v>
      </c>
      <c r="Q855" s="87">
        <v>6</v>
      </c>
      <c r="R855" s="160"/>
      <c r="S855" s="165" t="e">
        <f ca="1">__xlfn.XLOOKUP(H855,[1]Izvršenje_proračuna_po_pozicija!$B$2:$B$153,[1]Izvršenje_proračuna_po_pozicija!$E$2:$E$153,0)</f>
        <v>#NAME?</v>
      </c>
      <c r="T855" s="165"/>
      <c r="U855" s="165"/>
      <c r="V855" s="200"/>
      <c r="W855" s="200"/>
      <c r="X855" s="361"/>
      <c r="Y855" s="373"/>
      <c r="Z855" s="373"/>
      <c r="AA855" s="370" t="e">
        <f t="shared" ca="1" si="522"/>
        <v>#NAME?</v>
      </c>
      <c r="AB855" s="181"/>
      <c r="AC855" s="182">
        <v>7</v>
      </c>
      <c r="AD855" s="182">
        <v>8</v>
      </c>
      <c r="AE855" s="182">
        <v>9</v>
      </c>
      <c r="AF855" s="182">
        <v>10</v>
      </c>
      <c r="AG855" s="182">
        <v>11</v>
      </c>
      <c r="AH855" s="182">
        <v>12</v>
      </c>
      <c r="AI855" s="181"/>
      <c r="AJ855" s="373"/>
      <c r="AK855" s="171"/>
      <c r="AL855" s="171"/>
      <c r="AM855" s="171"/>
      <c r="AN855" s="161"/>
      <c r="AO855" s="193"/>
      <c r="AP855" s="193" t="e">
        <f t="shared" ca="1" si="521"/>
        <v>#NAME?</v>
      </c>
      <c r="AQ855" s="200"/>
      <c r="AR855" s="204"/>
      <c r="AS855" s="204"/>
      <c r="AT855" s="204"/>
      <c r="AU855" s="204"/>
      <c r="AV855" s="204"/>
    </row>
    <row r="856" spans="1:48" ht="12" customHeight="1">
      <c r="A856" s="24"/>
      <c r="B856" s="24"/>
      <c r="C856" s="24"/>
      <c r="D856" s="24"/>
      <c r="E856" s="24"/>
      <c r="F856" s="24"/>
      <c r="G856" s="24"/>
      <c r="H856" s="393"/>
      <c r="I856" s="465"/>
      <c r="J856" s="281">
        <v>3</v>
      </c>
      <c r="K856" s="2" t="s">
        <v>224</v>
      </c>
      <c r="L856" s="112">
        <f t="shared" ref="L856:S858" si="550">L857</f>
        <v>142000</v>
      </c>
      <c r="M856" s="112">
        <f t="shared" si="550"/>
        <v>18846.638794876897</v>
      </c>
      <c r="N856" s="113">
        <f t="shared" si="550"/>
        <v>184000</v>
      </c>
      <c r="O856" s="113">
        <f t="shared" si="550"/>
        <v>24420.996748291192</v>
      </c>
      <c r="P856" s="114">
        <f t="shared" si="550"/>
        <v>25300</v>
      </c>
      <c r="Q856" s="114">
        <f t="shared" si="550"/>
        <v>25300</v>
      </c>
      <c r="R856" s="88">
        <f t="shared" si="550"/>
        <v>24800</v>
      </c>
      <c r="S856" s="90" t="e">
        <f t="shared" ca="1" si="550"/>
        <v>#NAME?</v>
      </c>
      <c r="T856" s="90"/>
      <c r="U856" s="90"/>
      <c r="V856" s="200">
        <f>V857</f>
        <v>27800</v>
      </c>
      <c r="W856" s="200">
        <f t="shared" ref="W856:Z858" si="551">W857</f>
        <v>27800</v>
      </c>
      <c r="X856" s="88">
        <f t="shared" si="551"/>
        <v>32000</v>
      </c>
      <c r="Y856" s="171" t="e">
        <f t="shared" ca="1" si="551"/>
        <v>#NAME?</v>
      </c>
      <c r="Z856" s="171" t="e">
        <f t="shared" ca="1" si="551"/>
        <v>#NAME?</v>
      </c>
      <c r="AA856" s="370" t="e">
        <f t="shared" ca="1" si="522"/>
        <v>#NAME?</v>
      </c>
      <c r="AB856" s="171"/>
      <c r="AC856" s="172">
        <f t="shared" ref="AC856:AD858" si="552">AC857</f>
        <v>26000</v>
      </c>
      <c r="AD856" s="172">
        <f t="shared" si="552"/>
        <v>26000</v>
      </c>
      <c r="AE856" s="178">
        <f>O856/M856*100</f>
        <v>129.57746478873241</v>
      </c>
      <c r="AF856" s="178">
        <f t="shared" ref="AF856:AG859" si="553">P856/O856*100</f>
        <v>103.59937500000001</v>
      </c>
      <c r="AG856" s="178">
        <f t="shared" si="553"/>
        <v>100</v>
      </c>
      <c r="AH856" s="178">
        <f>AC856/Q856*100</f>
        <v>102.76679841897234</v>
      </c>
      <c r="AI856" s="171"/>
      <c r="AJ856" s="171">
        <v>35000</v>
      </c>
      <c r="AK856" s="171">
        <f t="shared" si="548"/>
        <v>112.09677419354837</v>
      </c>
      <c r="AL856" s="171">
        <f t="shared" si="549"/>
        <v>115.10791366906474</v>
      </c>
      <c r="AM856" s="171" t="e">
        <f t="shared" ca="1" si="549"/>
        <v>#NAME?</v>
      </c>
      <c r="AN856" s="90"/>
      <c r="AO856" s="193"/>
      <c r="AP856" s="193" t="e">
        <f t="shared" ca="1" si="521"/>
        <v>#NAME?</v>
      </c>
      <c r="AQ856" s="200">
        <f>AQ857</f>
        <v>27600</v>
      </c>
      <c r="AR856" s="204">
        <f t="shared" si="529"/>
        <v>112.09677419354837</v>
      </c>
      <c r="AS856" s="204">
        <f>W856/V856*100</f>
        <v>100</v>
      </c>
      <c r="AT856" s="204">
        <f t="shared" si="530"/>
        <v>112.09677419354837</v>
      </c>
      <c r="AU856" s="204">
        <f t="shared" si="524"/>
        <v>99.280575539568346</v>
      </c>
      <c r="AV856" s="204">
        <f t="shared" si="531"/>
        <v>111.29032258064515</v>
      </c>
    </row>
    <row r="857" spans="1:48" ht="12" customHeight="1">
      <c r="A857" s="301"/>
      <c r="B857" s="301"/>
      <c r="C857" s="301"/>
      <c r="D857" s="301"/>
      <c r="E857" s="301"/>
      <c r="F857" s="301"/>
      <c r="G857" s="301"/>
      <c r="H857" s="307"/>
      <c r="I857" s="350"/>
      <c r="J857" s="302">
        <v>38</v>
      </c>
      <c r="K857" s="343" t="s">
        <v>285</v>
      </c>
      <c r="L857" s="112">
        <f t="shared" si="550"/>
        <v>142000</v>
      </c>
      <c r="M857" s="112">
        <f t="shared" si="550"/>
        <v>18846.638794876897</v>
      </c>
      <c r="N857" s="113">
        <f t="shared" si="550"/>
        <v>184000</v>
      </c>
      <c r="O857" s="113">
        <f t="shared" si="550"/>
        <v>24420.996748291192</v>
      </c>
      <c r="P857" s="114">
        <f t="shared" si="550"/>
        <v>25300</v>
      </c>
      <c r="Q857" s="114">
        <f t="shared" si="550"/>
        <v>25300</v>
      </c>
      <c r="R857" s="88">
        <f t="shared" si="550"/>
        <v>24800</v>
      </c>
      <c r="S857" s="90" t="e">
        <f t="shared" ca="1" si="550"/>
        <v>#NAME?</v>
      </c>
      <c r="T857" s="90"/>
      <c r="U857" s="90"/>
      <c r="V857" s="200">
        <f>V858</f>
        <v>27800</v>
      </c>
      <c r="W857" s="200">
        <f t="shared" si="551"/>
        <v>27800</v>
      </c>
      <c r="X857" s="88">
        <f t="shared" si="551"/>
        <v>32000</v>
      </c>
      <c r="Y857" s="171" t="e">
        <f t="shared" ca="1" si="551"/>
        <v>#NAME?</v>
      </c>
      <c r="Z857" s="171" t="e">
        <f t="shared" ca="1" si="551"/>
        <v>#NAME?</v>
      </c>
      <c r="AA857" s="370" t="e">
        <f t="shared" ca="1" si="522"/>
        <v>#NAME?</v>
      </c>
      <c r="AB857" s="171"/>
      <c r="AC857" s="172">
        <f t="shared" si="552"/>
        <v>26000</v>
      </c>
      <c r="AD857" s="172">
        <f t="shared" si="552"/>
        <v>26000</v>
      </c>
      <c r="AE857" s="178">
        <f>O857/M857*100</f>
        <v>129.57746478873241</v>
      </c>
      <c r="AF857" s="178">
        <f t="shared" si="553"/>
        <v>103.59937500000001</v>
      </c>
      <c r="AG857" s="178">
        <f t="shared" si="553"/>
        <v>100</v>
      </c>
      <c r="AH857" s="178">
        <f>AC857/Q857*100</f>
        <v>102.76679841897234</v>
      </c>
      <c r="AI857" s="171"/>
      <c r="AJ857" s="171">
        <v>35000</v>
      </c>
      <c r="AK857" s="171">
        <f t="shared" si="548"/>
        <v>112.09677419354837</v>
      </c>
      <c r="AL857" s="171">
        <f t="shared" si="549"/>
        <v>115.10791366906474</v>
      </c>
      <c r="AM857" s="171" t="e">
        <f t="shared" ca="1" si="549"/>
        <v>#NAME?</v>
      </c>
      <c r="AN857" s="90"/>
      <c r="AO857" s="193"/>
      <c r="AP857" s="193" t="e">
        <f t="shared" ca="1" si="521"/>
        <v>#NAME?</v>
      </c>
      <c r="AQ857" s="200">
        <f>AQ858</f>
        <v>27600</v>
      </c>
      <c r="AR857" s="204">
        <f t="shared" si="529"/>
        <v>112.09677419354837</v>
      </c>
      <c r="AS857" s="204">
        <f>W857/V857*100</f>
        <v>100</v>
      </c>
      <c r="AT857" s="204">
        <f t="shared" si="530"/>
        <v>112.09677419354837</v>
      </c>
      <c r="AU857" s="204">
        <f t="shared" si="524"/>
        <v>99.280575539568346</v>
      </c>
      <c r="AV857" s="204">
        <f t="shared" si="531"/>
        <v>111.29032258064515</v>
      </c>
    </row>
    <row r="858" spans="1:48" ht="12" customHeight="1">
      <c r="A858" s="62"/>
      <c r="B858" s="62"/>
      <c r="C858" s="62"/>
      <c r="D858" s="62"/>
      <c r="E858" s="62"/>
      <c r="F858" s="62"/>
      <c r="G858" s="62"/>
      <c r="H858" s="304"/>
      <c r="I858" s="464"/>
      <c r="J858" s="303">
        <v>381</v>
      </c>
      <c r="K858" s="19" t="s">
        <v>407</v>
      </c>
      <c r="L858" s="112">
        <f t="shared" si="550"/>
        <v>142000</v>
      </c>
      <c r="M858" s="112">
        <f t="shared" si="550"/>
        <v>18846.638794876897</v>
      </c>
      <c r="N858" s="113">
        <f t="shared" si="550"/>
        <v>184000</v>
      </c>
      <c r="O858" s="113">
        <f t="shared" si="550"/>
        <v>24420.996748291192</v>
      </c>
      <c r="P858" s="114">
        <f t="shared" si="550"/>
        <v>25300</v>
      </c>
      <c r="Q858" s="114">
        <f t="shared" si="550"/>
        <v>25300</v>
      </c>
      <c r="R858" s="88">
        <f t="shared" si="550"/>
        <v>24800</v>
      </c>
      <c r="S858" s="90" t="e">
        <f t="shared" ca="1" si="550"/>
        <v>#NAME?</v>
      </c>
      <c r="T858" s="90"/>
      <c r="U858" s="90"/>
      <c r="V858" s="200">
        <f>V859</f>
        <v>27800</v>
      </c>
      <c r="W858" s="200">
        <f t="shared" si="551"/>
        <v>27800</v>
      </c>
      <c r="X858" s="88">
        <f t="shared" si="551"/>
        <v>32000</v>
      </c>
      <c r="Y858" s="171" t="e">
        <f t="shared" ca="1" si="551"/>
        <v>#NAME?</v>
      </c>
      <c r="Z858" s="171" t="e">
        <f t="shared" ca="1" si="551"/>
        <v>#NAME?</v>
      </c>
      <c r="AA858" s="370" t="e">
        <f t="shared" ca="1" si="522"/>
        <v>#NAME?</v>
      </c>
      <c r="AB858" s="171"/>
      <c r="AC858" s="172">
        <f t="shared" si="552"/>
        <v>26000</v>
      </c>
      <c r="AD858" s="172">
        <f t="shared" si="552"/>
        <v>26000</v>
      </c>
      <c r="AE858" s="178">
        <f>O858/M858*100</f>
        <v>129.57746478873241</v>
      </c>
      <c r="AF858" s="178">
        <f t="shared" si="553"/>
        <v>103.59937500000001</v>
      </c>
      <c r="AG858" s="178">
        <f t="shared" si="553"/>
        <v>100</v>
      </c>
      <c r="AH858" s="178">
        <f>AC858/Q858*100</f>
        <v>102.76679841897234</v>
      </c>
      <c r="AI858" s="171"/>
      <c r="AJ858" s="171">
        <v>35000</v>
      </c>
      <c r="AK858" s="171">
        <f t="shared" si="548"/>
        <v>112.09677419354837</v>
      </c>
      <c r="AL858" s="171">
        <f t="shared" si="549"/>
        <v>115.10791366906474</v>
      </c>
      <c r="AM858" s="171" t="e">
        <f t="shared" ca="1" si="549"/>
        <v>#NAME?</v>
      </c>
      <c r="AN858" s="90"/>
      <c r="AO858" s="193"/>
      <c r="AP858" s="193" t="e">
        <f t="shared" ca="1" si="521"/>
        <v>#NAME?</v>
      </c>
      <c r="AQ858" s="200">
        <f>AQ859</f>
        <v>27600</v>
      </c>
      <c r="AR858" s="204">
        <f t="shared" si="529"/>
        <v>112.09677419354837</v>
      </c>
      <c r="AS858" s="204">
        <f>W858/V858*100</f>
        <v>100</v>
      </c>
      <c r="AT858" s="204">
        <f t="shared" si="530"/>
        <v>112.09677419354837</v>
      </c>
      <c r="AU858" s="204">
        <f t="shared" si="524"/>
        <v>99.280575539568346</v>
      </c>
      <c r="AV858" s="204">
        <f t="shared" si="531"/>
        <v>111.29032258064515</v>
      </c>
    </row>
    <row r="859" spans="1:48" ht="12" customHeight="1">
      <c r="A859" s="53"/>
      <c r="B859" s="53"/>
      <c r="C859" s="53"/>
      <c r="D859" s="53"/>
      <c r="E859" s="53"/>
      <c r="F859" s="53"/>
      <c r="G859" s="53"/>
      <c r="H859" s="1"/>
      <c r="I859" s="397"/>
      <c r="J859" s="229">
        <v>3811</v>
      </c>
      <c r="K859" s="18" t="s">
        <v>286</v>
      </c>
      <c r="L859" s="112">
        <v>142000</v>
      </c>
      <c r="M859" s="112">
        <f>142000/7.5345</f>
        <v>18846.638794876897</v>
      </c>
      <c r="N859" s="113">
        <v>184000</v>
      </c>
      <c r="O859" s="113">
        <f>N859/7.5345</f>
        <v>24420.996748291192</v>
      </c>
      <c r="P859" s="114">
        <v>25300</v>
      </c>
      <c r="Q859" s="114">
        <v>25300</v>
      </c>
      <c r="R859" s="88">
        <f>SUM(R861:R872)</f>
        <v>24800</v>
      </c>
      <c r="S859" s="90" t="e">
        <f t="shared" ref="S859:X859" ca="1" si="554">S872</f>
        <v>#NAME?</v>
      </c>
      <c r="T859" s="90">
        <f t="shared" si="554"/>
        <v>0</v>
      </c>
      <c r="U859" s="90">
        <f t="shared" si="554"/>
        <v>0</v>
      </c>
      <c r="V859" s="200">
        <f t="shared" si="554"/>
        <v>27800</v>
      </c>
      <c r="W859" s="200">
        <f t="shared" si="554"/>
        <v>27800</v>
      </c>
      <c r="X859" s="88">
        <f t="shared" si="554"/>
        <v>32000</v>
      </c>
      <c r="Y859" s="171" t="e">
        <f ca="1">SUM(Y861:AH872)</f>
        <v>#NAME?</v>
      </c>
      <c r="Z859" s="171" t="e">
        <f ca="1">SUM(Z861:AI872)</f>
        <v>#NAME?</v>
      </c>
      <c r="AA859" s="370" t="e">
        <f t="shared" ca="1" si="522"/>
        <v>#NAME?</v>
      </c>
      <c r="AB859" s="171"/>
      <c r="AC859" s="172">
        <v>26000</v>
      </c>
      <c r="AD859" s="172">
        <v>26000</v>
      </c>
      <c r="AE859" s="178">
        <f>O859/M859*100</f>
        <v>129.57746478873241</v>
      </c>
      <c r="AF859" s="178">
        <f t="shared" si="553"/>
        <v>103.59937500000001</v>
      </c>
      <c r="AG859" s="178">
        <f t="shared" si="553"/>
        <v>100</v>
      </c>
      <c r="AH859" s="178">
        <f>AC859/Q859*100</f>
        <v>102.76679841897234</v>
      </c>
      <c r="AI859" s="171"/>
      <c r="AJ859" s="171">
        <v>35000</v>
      </c>
      <c r="AK859" s="171">
        <f t="shared" si="548"/>
        <v>112.09677419354837</v>
      </c>
      <c r="AL859" s="171">
        <f t="shared" si="549"/>
        <v>115.10791366906474</v>
      </c>
      <c r="AM859" s="171" t="e">
        <f t="shared" ca="1" si="549"/>
        <v>#NAME?</v>
      </c>
      <c r="AN859" s="90"/>
      <c r="AO859" s="193"/>
      <c r="AP859" s="193" t="e">
        <f t="shared" ca="1" si="521"/>
        <v>#NAME?</v>
      </c>
      <c r="AQ859" s="200">
        <f>AQ872</f>
        <v>27600</v>
      </c>
      <c r="AR859" s="204">
        <f t="shared" si="529"/>
        <v>112.09677419354837</v>
      </c>
      <c r="AS859" s="204">
        <f>W859/V859*100</f>
        <v>100</v>
      </c>
      <c r="AT859" s="204">
        <f t="shared" si="530"/>
        <v>112.09677419354837</v>
      </c>
      <c r="AU859" s="204">
        <f t="shared" si="524"/>
        <v>99.280575539568346</v>
      </c>
      <c r="AV859" s="204">
        <f t="shared" si="531"/>
        <v>111.29032258064515</v>
      </c>
    </row>
    <row r="860" spans="1:48" ht="12" customHeight="1">
      <c r="A860" s="53"/>
      <c r="B860" s="53"/>
      <c r="C860" s="53"/>
      <c r="D860" s="53"/>
      <c r="E860" s="53"/>
      <c r="F860" s="53"/>
      <c r="G860" s="53"/>
      <c r="H860" s="1">
        <v>160</v>
      </c>
      <c r="I860" s="397">
        <v>820</v>
      </c>
      <c r="J860" s="229">
        <v>3811</v>
      </c>
      <c r="K860" s="18" t="s">
        <v>691</v>
      </c>
      <c r="L860" s="130"/>
      <c r="M860" s="130"/>
      <c r="N860" s="131"/>
      <c r="O860" s="131"/>
      <c r="P860" s="132"/>
      <c r="Q860" s="132"/>
      <c r="R860" s="508">
        <v>500</v>
      </c>
      <c r="S860" s="165" t="e">
        <f ca="1">__xlfn.XLOOKUP(H860,[1]Izvršenje_proračuna_po_pozicija!$B$2:$B$153,[1]Izvršenje_proračuna_po_pozicija!$E$2:$E$153,0)</f>
        <v>#NAME?</v>
      </c>
      <c r="T860" s="165"/>
      <c r="U860" s="165"/>
      <c r="V860" s="200"/>
      <c r="W860" s="200"/>
      <c r="X860" s="164"/>
      <c r="Y860" s="378"/>
      <c r="Z860" s="378"/>
      <c r="AA860" s="370" t="e">
        <f t="shared" ca="1" si="522"/>
        <v>#NAME?</v>
      </c>
      <c r="AB860" s="509"/>
      <c r="AC860" s="178"/>
      <c r="AD860" s="178"/>
      <c r="AE860" s="178"/>
      <c r="AF860" s="178"/>
      <c r="AG860" s="178"/>
      <c r="AH860" s="178"/>
      <c r="AI860" s="509"/>
      <c r="AJ860" s="378"/>
      <c r="AK860" s="171">
        <f t="shared" si="548"/>
        <v>0</v>
      </c>
      <c r="AL860" s="171"/>
      <c r="AM860" s="171"/>
      <c r="AN860" s="510"/>
      <c r="AO860" s="193"/>
      <c r="AP860" s="193" t="e">
        <f t="shared" ca="1" si="521"/>
        <v>#NAME?</v>
      </c>
      <c r="AQ860" s="200"/>
      <c r="AR860" s="204">
        <f t="shared" si="529"/>
        <v>0</v>
      </c>
      <c r="AS860" s="204"/>
      <c r="AT860" s="204">
        <f t="shared" si="530"/>
        <v>0</v>
      </c>
      <c r="AU860" s="204"/>
      <c r="AV860" s="204">
        <f t="shared" si="531"/>
        <v>0</v>
      </c>
    </row>
    <row r="861" spans="1:48" ht="12" customHeight="1">
      <c r="A861" s="53"/>
      <c r="B861" s="53"/>
      <c r="C861" s="53"/>
      <c r="D861" s="53"/>
      <c r="E861" s="53"/>
      <c r="F861" s="53"/>
      <c r="G861" s="53"/>
      <c r="H861" s="1">
        <v>161</v>
      </c>
      <c r="I861" s="397">
        <v>820</v>
      </c>
      <c r="J861" s="229">
        <v>3811</v>
      </c>
      <c r="K861" s="18" t="s">
        <v>692</v>
      </c>
      <c r="L861" s="130"/>
      <c r="M861" s="130"/>
      <c r="N861" s="131"/>
      <c r="O861" s="131"/>
      <c r="P861" s="132"/>
      <c r="Q861" s="132"/>
      <c r="R861" s="159"/>
      <c r="S861" s="165" t="e">
        <f ca="1">__xlfn.XLOOKUP(H861,[1]Izvršenje_proračuna_po_pozicija!$B$2:$B$153,[1]Izvršenje_proračuna_po_pozicija!$E$2:$E$153,0)</f>
        <v>#NAME?</v>
      </c>
      <c r="T861" s="165"/>
      <c r="U861" s="165"/>
      <c r="V861" s="200"/>
      <c r="W861" s="200"/>
      <c r="X861" s="164"/>
      <c r="Y861" s="378"/>
      <c r="Z861" s="378"/>
      <c r="AA861" s="370" t="e">
        <f t="shared" ca="1" si="522"/>
        <v>#NAME?</v>
      </c>
      <c r="AB861" s="183"/>
      <c r="AC861" s="178"/>
      <c r="AD861" s="178"/>
      <c r="AE861" s="178"/>
      <c r="AF861" s="178"/>
      <c r="AG861" s="178"/>
      <c r="AH861" s="178"/>
      <c r="AI861" s="183"/>
      <c r="AJ861" s="378"/>
      <c r="AK861" s="171"/>
      <c r="AL861" s="171"/>
      <c r="AM861" s="171"/>
      <c r="AN861" s="165"/>
      <c r="AO861" s="193"/>
      <c r="AP861" s="193" t="e">
        <f t="shared" ca="1" si="521"/>
        <v>#NAME?</v>
      </c>
      <c r="AQ861" s="200"/>
      <c r="AR861" s="204"/>
      <c r="AS861" s="204"/>
      <c r="AT861" s="204"/>
      <c r="AU861" s="204"/>
      <c r="AV861" s="204"/>
    </row>
    <row r="862" spans="1:48" ht="12" customHeight="1">
      <c r="A862" s="53"/>
      <c r="B862" s="53"/>
      <c r="C862" s="53"/>
      <c r="D862" s="53"/>
      <c r="E862" s="53"/>
      <c r="F862" s="53"/>
      <c r="G862" s="53"/>
      <c r="H862" s="1" t="s">
        <v>693</v>
      </c>
      <c r="I862" s="397">
        <v>820</v>
      </c>
      <c r="J862" s="229">
        <v>3811</v>
      </c>
      <c r="K862" s="18" t="s">
        <v>694</v>
      </c>
      <c r="L862" s="130">
        <v>10000</v>
      </c>
      <c r="M862" s="130">
        <f>10000/7.5345</f>
        <v>1327.2280841462605</v>
      </c>
      <c r="N862" s="131"/>
      <c r="O862" s="131"/>
      <c r="P862" s="132"/>
      <c r="Q862" s="132"/>
      <c r="R862" s="159">
        <v>2000</v>
      </c>
      <c r="S862" s="165" t="e">
        <f ca="1">__xlfn.XLOOKUP(H862,[1]Izvršenje_proračuna_po_pozicija!$B$2:$B$153,[1]Izvršenje_proračuna_po_pozicija!$E$2:$E$153,0)</f>
        <v>#NAME?</v>
      </c>
      <c r="T862" s="165"/>
      <c r="U862" s="165"/>
      <c r="V862" s="200"/>
      <c r="W862" s="200"/>
      <c r="X862" s="164"/>
      <c r="Y862" s="378"/>
      <c r="Z862" s="378"/>
      <c r="AA862" s="370" t="e">
        <f t="shared" ca="1" si="522"/>
        <v>#NAME?</v>
      </c>
      <c r="AB862" s="183"/>
      <c r="AC862" s="178"/>
      <c r="AD862" s="178"/>
      <c r="AE862" s="178">
        <f>O862/M862*100</f>
        <v>0</v>
      </c>
      <c r="AF862" s="178"/>
      <c r="AG862" s="178"/>
      <c r="AH862" s="178"/>
      <c r="AI862" s="183"/>
      <c r="AJ862" s="378"/>
      <c r="AK862" s="171">
        <f t="shared" si="548"/>
        <v>0</v>
      </c>
      <c r="AL862" s="171"/>
      <c r="AM862" s="171"/>
      <c r="AN862" s="165"/>
      <c r="AO862" s="193"/>
      <c r="AP862" s="193" t="e">
        <f t="shared" ca="1" si="521"/>
        <v>#NAME?</v>
      </c>
      <c r="AQ862" s="200"/>
      <c r="AR862" s="204">
        <f t="shared" si="529"/>
        <v>0</v>
      </c>
      <c r="AS862" s="204"/>
      <c r="AT862" s="204">
        <f t="shared" si="530"/>
        <v>0</v>
      </c>
      <c r="AU862" s="204"/>
      <c r="AV862" s="204">
        <f t="shared" si="531"/>
        <v>0</v>
      </c>
    </row>
    <row r="863" spans="1:48" ht="12" customHeight="1">
      <c r="A863" s="53"/>
      <c r="B863" s="53"/>
      <c r="C863" s="53"/>
      <c r="D863" s="53"/>
      <c r="E863" s="53"/>
      <c r="F863" s="53"/>
      <c r="G863" s="53"/>
      <c r="H863" s="1">
        <v>140</v>
      </c>
      <c r="I863" s="397">
        <v>820</v>
      </c>
      <c r="J863" s="229">
        <v>3811</v>
      </c>
      <c r="K863" s="18" t="s">
        <v>695</v>
      </c>
      <c r="L863" s="130">
        <v>8000</v>
      </c>
      <c r="M863" s="130">
        <f>8000/7.5345</f>
        <v>1061.7824673170085</v>
      </c>
      <c r="N863" s="131"/>
      <c r="O863" s="131"/>
      <c r="P863" s="132"/>
      <c r="Q863" s="132"/>
      <c r="R863" s="159">
        <v>3000</v>
      </c>
      <c r="S863" s="165" t="e">
        <f ca="1">__xlfn.XLOOKUP(H863,[1]Izvršenje_proračuna_po_pozicija!$B$2:$B$153,[1]Izvršenje_proračuna_po_pozicija!$E$2:$E$153,0)</f>
        <v>#NAME?</v>
      </c>
      <c r="T863" s="165"/>
      <c r="U863" s="165"/>
      <c r="V863" s="200"/>
      <c r="W863" s="200"/>
      <c r="X863" s="164"/>
      <c r="Y863" s="378"/>
      <c r="Z863" s="378"/>
      <c r="AA863" s="370" t="e">
        <f t="shared" ca="1" si="522"/>
        <v>#NAME?</v>
      </c>
      <c r="AB863" s="183"/>
      <c r="AC863" s="178"/>
      <c r="AD863" s="178"/>
      <c r="AE863" s="178">
        <f>O863/M863*100</f>
        <v>0</v>
      </c>
      <c r="AF863" s="178"/>
      <c r="AG863" s="178"/>
      <c r="AH863" s="178"/>
      <c r="AI863" s="183"/>
      <c r="AJ863" s="378"/>
      <c r="AK863" s="171">
        <f t="shared" si="548"/>
        <v>0</v>
      </c>
      <c r="AL863" s="171"/>
      <c r="AM863" s="171"/>
      <c r="AN863" s="165"/>
      <c r="AO863" s="193"/>
      <c r="AP863" s="193" t="e">
        <f t="shared" ref="AP863:AP926" ca="1" si="555">__xlfn.ISFORMULA(X863)</f>
        <v>#NAME?</v>
      </c>
      <c r="AQ863" s="200"/>
      <c r="AR863" s="204">
        <f t="shared" si="529"/>
        <v>0</v>
      </c>
      <c r="AS863" s="204"/>
      <c r="AT863" s="204">
        <f t="shared" si="530"/>
        <v>0</v>
      </c>
      <c r="AU863" s="204"/>
      <c r="AV863" s="204">
        <f t="shared" si="531"/>
        <v>0</v>
      </c>
    </row>
    <row r="864" spans="1:48" ht="12" customHeight="1">
      <c r="A864" s="53"/>
      <c r="B864" s="53"/>
      <c r="C864" s="53"/>
      <c r="D864" s="53"/>
      <c r="E864" s="53"/>
      <c r="F864" s="53"/>
      <c r="G864" s="53"/>
      <c r="H864" s="1" t="s">
        <v>696</v>
      </c>
      <c r="I864" s="397">
        <v>820</v>
      </c>
      <c r="J864" s="229">
        <v>3811</v>
      </c>
      <c r="K864" s="18" t="s">
        <v>697</v>
      </c>
      <c r="L864" s="130">
        <v>37000</v>
      </c>
      <c r="M864" s="130">
        <f>37000/7.5345</f>
        <v>4910.7439113411638</v>
      </c>
      <c r="N864" s="131"/>
      <c r="O864" s="131"/>
      <c r="P864" s="132"/>
      <c r="Q864" s="132"/>
      <c r="R864" s="159">
        <v>200</v>
      </c>
      <c r="S864" s="165" t="e">
        <f ca="1">__xlfn.XLOOKUP(H864,[1]Izvršenje_proračuna_po_pozicija!$B$2:$B$153,[1]Izvršenje_proračuna_po_pozicija!$E$2:$E$153,0)</f>
        <v>#NAME?</v>
      </c>
      <c r="T864" s="165"/>
      <c r="U864" s="165"/>
      <c r="V864" s="200"/>
      <c r="W864" s="200"/>
      <c r="X864" s="164"/>
      <c r="Y864" s="378"/>
      <c r="Z864" s="378"/>
      <c r="AA864" s="370" t="e">
        <f t="shared" ca="1" si="522"/>
        <v>#NAME?</v>
      </c>
      <c r="AB864" s="183"/>
      <c r="AC864" s="178"/>
      <c r="AD864" s="178"/>
      <c r="AE864" s="178">
        <f>O864/M864*100</f>
        <v>0</v>
      </c>
      <c r="AF864" s="178"/>
      <c r="AG864" s="178"/>
      <c r="AH864" s="178"/>
      <c r="AI864" s="183"/>
      <c r="AJ864" s="378"/>
      <c r="AK864" s="171">
        <f t="shared" si="548"/>
        <v>0</v>
      </c>
      <c r="AL864" s="171"/>
      <c r="AM864" s="171"/>
      <c r="AN864" s="165"/>
      <c r="AO864" s="193"/>
      <c r="AP864" s="193" t="e">
        <f t="shared" ca="1" si="555"/>
        <v>#NAME?</v>
      </c>
      <c r="AQ864" s="200"/>
      <c r="AR864" s="204">
        <f t="shared" si="529"/>
        <v>0</v>
      </c>
      <c r="AS864" s="204"/>
      <c r="AT864" s="204">
        <f t="shared" si="530"/>
        <v>0</v>
      </c>
      <c r="AU864" s="204"/>
      <c r="AV864" s="204">
        <f t="shared" si="531"/>
        <v>0</v>
      </c>
    </row>
    <row r="865" spans="1:48" ht="12" customHeight="1">
      <c r="A865" s="53"/>
      <c r="B865" s="53"/>
      <c r="C865" s="53"/>
      <c r="D865" s="53"/>
      <c r="E865" s="53"/>
      <c r="F865" s="53"/>
      <c r="G865" s="53"/>
      <c r="H865" s="1" t="s">
        <v>698</v>
      </c>
      <c r="I865" s="397">
        <v>820</v>
      </c>
      <c r="J865" s="229">
        <v>3811</v>
      </c>
      <c r="K865" s="54" t="s">
        <v>699</v>
      </c>
      <c r="L865" s="130">
        <v>60000</v>
      </c>
      <c r="M865" s="130">
        <f>60000/7.5345</f>
        <v>7963.3685048775624</v>
      </c>
      <c r="N865" s="131"/>
      <c r="O865" s="131"/>
      <c r="P865" s="132"/>
      <c r="Q865" s="132"/>
      <c r="R865" s="159">
        <v>8700</v>
      </c>
      <c r="S865" s="165" t="e">
        <f ca="1">__xlfn.XLOOKUP(H865,[1]Izvršenje_proračuna_po_pozicija!$B$2:$B$153,[1]Izvršenje_proračuna_po_pozicija!$E$2:$E$153,0)</f>
        <v>#NAME?</v>
      </c>
      <c r="T865" s="165"/>
      <c r="U865" s="165"/>
      <c r="V865" s="200"/>
      <c r="W865" s="200"/>
      <c r="X865" s="164"/>
      <c r="Y865" s="378"/>
      <c r="Z865" s="378"/>
      <c r="AA865" s="370" t="e">
        <f t="shared" ref="AA865:AA928" ca="1" si="556">__xlfn.ISFORMULA(R865)</f>
        <v>#NAME?</v>
      </c>
      <c r="AB865" s="183"/>
      <c r="AC865" s="178"/>
      <c r="AD865" s="178"/>
      <c r="AE865" s="178">
        <f>O865/M865*100</f>
        <v>0</v>
      </c>
      <c r="AF865" s="178"/>
      <c r="AG865" s="178"/>
      <c r="AH865" s="178"/>
      <c r="AI865" s="183"/>
      <c r="AJ865" s="378"/>
      <c r="AK865" s="171">
        <f t="shared" si="548"/>
        <v>0</v>
      </c>
      <c r="AL865" s="171"/>
      <c r="AM865" s="171"/>
      <c r="AN865" s="165"/>
      <c r="AO865" s="193"/>
      <c r="AP865" s="193" t="e">
        <f t="shared" ca="1" si="555"/>
        <v>#NAME?</v>
      </c>
      <c r="AQ865" s="200"/>
      <c r="AR865" s="204">
        <f t="shared" si="529"/>
        <v>0</v>
      </c>
      <c r="AS865" s="204"/>
      <c r="AT865" s="204">
        <f t="shared" si="530"/>
        <v>0</v>
      </c>
      <c r="AU865" s="204"/>
      <c r="AV865" s="204">
        <f t="shared" si="531"/>
        <v>0</v>
      </c>
    </row>
    <row r="866" spans="1:48" ht="12" customHeight="1">
      <c r="A866" s="53"/>
      <c r="B866" s="53"/>
      <c r="C866" s="53"/>
      <c r="D866" s="53"/>
      <c r="E866" s="53"/>
      <c r="F866" s="53"/>
      <c r="G866" s="53"/>
      <c r="H866" s="1" t="s">
        <v>700</v>
      </c>
      <c r="I866" s="397">
        <v>820</v>
      </c>
      <c r="J866" s="229">
        <v>3811</v>
      </c>
      <c r="K866" s="54" t="s">
        <v>701</v>
      </c>
      <c r="L866" s="130"/>
      <c r="M866" s="130"/>
      <c r="N866" s="131"/>
      <c r="O866" s="131"/>
      <c r="P866" s="132"/>
      <c r="Q866" s="132"/>
      <c r="R866" s="159">
        <v>3000</v>
      </c>
      <c r="S866" s="165" t="e">
        <f ca="1">__xlfn.XLOOKUP(H866,[1]Izvršenje_proračuna_po_pozicija!$B$2:$B$153,[1]Izvršenje_proračuna_po_pozicija!$E$2:$E$153,0)</f>
        <v>#NAME?</v>
      </c>
      <c r="T866" s="165"/>
      <c r="U866" s="165"/>
      <c r="V866" s="200"/>
      <c r="W866" s="200"/>
      <c r="X866" s="164"/>
      <c r="Y866" s="378"/>
      <c r="Z866" s="378"/>
      <c r="AA866" s="370" t="e">
        <f t="shared" ca="1" si="556"/>
        <v>#NAME?</v>
      </c>
      <c r="AB866" s="183"/>
      <c r="AC866" s="178"/>
      <c r="AD866" s="178"/>
      <c r="AE866" s="178"/>
      <c r="AF866" s="178"/>
      <c r="AG866" s="178"/>
      <c r="AH866" s="178"/>
      <c r="AI866" s="183"/>
      <c r="AJ866" s="378"/>
      <c r="AK866" s="171">
        <f t="shared" si="548"/>
        <v>0</v>
      </c>
      <c r="AL866" s="171"/>
      <c r="AM866" s="171"/>
      <c r="AN866" s="165"/>
      <c r="AO866" s="193"/>
      <c r="AP866" s="193" t="e">
        <f t="shared" ca="1" si="555"/>
        <v>#NAME?</v>
      </c>
      <c r="AQ866" s="200"/>
      <c r="AR866" s="204">
        <f t="shared" si="529"/>
        <v>0</v>
      </c>
      <c r="AS866" s="204"/>
      <c r="AT866" s="204">
        <f t="shared" si="530"/>
        <v>0</v>
      </c>
      <c r="AU866" s="204"/>
      <c r="AV866" s="204">
        <f t="shared" si="531"/>
        <v>0</v>
      </c>
    </row>
    <row r="867" spans="1:48" ht="12" customHeight="1">
      <c r="A867" s="53"/>
      <c r="B867" s="53"/>
      <c r="C867" s="53"/>
      <c r="D867" s="53"/>
      <c r="E867" s="53"/>
      <c r="F867" s="53"/>
      <c r="G867" s="53"/>
      <c r="H867" s="1" t="s">
        <v>702</v>
      </c>
      <c r="I867" s="397">
        <v>820</v>
      </c>
      <c r="J867" s="229">
        <v>3811</v>
      </c>
      <c r="K867" s="54" t="s">
        <v>703</v>
      </c>
      <c r="L867" s="130">
        <v>5000</v>
      </c>
      <c r="M867" s="130">
        <f>5000/7.5345</f>
        <v>663.61404207313024</v>
      </c>
      <c r="N867" s="131"/>
      <c r="O867" s="131"/>
      <c r="P867" s="132"/>
      <c r="Q867" s="132"/>
      <c r="R867" s="159">
        <v>800</v>
      </c>
      <c r="S867" s="165" t="e">
        <f ca="1">__xlfn.XLOOKUP(H867,[1]Izvršenje_proračuna_po_pozicija!$B$2:$B$153,[1]Izvršenje_proračuna_po_pozicija!$E$2:$E$153,0)</f>
        <v>#NAME?</v>
      </c>
      <c r="T867" s="165"/>
      <c r="U867" s="165"/>
      <c r="V867" s="200"/>
      <c r="W867" s="200"/>
      <c r="X867" s="164"/>
      <c r="Y867" s="378"/>
      <c r="Z867" s="378"/>
      <c r="AA867" s="370" t="e">
        <f t="shared" ca="1" si="556"/>
        <v>#NAME?</v>
      </c>
      <c r="AB867" s="183"/>
      <c r="AC867" s="178"/>
      <c r="AD867" s="178"/>
      <c r="AE867" s="178">
        <f>O867/M867*100</f>
        <v>0</v>
      </c>
      <c r="AF867" s="178"/>
      <c r="AG867" s="178"/>
      <c r="AH867" s="178"/>
      <c r="AI867" s="183"/>
      <c r="AJ867" s="378"/>
      <c r="AK867" s="171">
        <f t="shared" si="548"/>
        <v>0</v>
      </c>
      <c r="AL867" s="171"/>
      <c r="AM867" s="171"/>
      <c r="AN867" s="165"/>
      <c r="AO867" s="193"/>
      <c r="AP867" s="193" t="e">
        <f t="shared" ca="1" si="555"/>
        <v>#NAME?</v>
      </c>
      <c r="AQ867" s="200"/>
      <c r="AR867" s="204">
        <f t="shared" si="529"/>
        <v>0</v>
      </c>
      <c r="AS867" s="204"/>
      <c r="AT867" s="204">
        <f t="shared" si="530"/>
        <v>0</v>
      </c>
      <c r="AU867" s="204"/>
      <c r="AV867" s="204">
        <f t="shared" si="531"/>
        <v>0</v>
      </c>
    </row>
    <row r="868" spans="1:48" ht="12" customHeight="1">
      <c r="A868" s="53"/>
      <c r="B868" s="53"/>
      <c r="C868" s="53"/>
      <c r="D868" s="53"/>
      <c r="E868" s="53"/>
      <c r="F868" s="53"/>
      <c r="G868" s="53"/>
      <c r="H868" s="1" t="s">
        <v>704</v>
      </c>
      <c r="I868" s="397">
        <v>820</v>
      </c>
      <c r="J868" s="229">
        <v>3811</v>
      </c>
      <c r="K868" s="54" t="s">
        <v>705</v>
      </c>
      <c r="L868" s="130"/>
      <c r="M868" s="130"/>
      <c r="N868" s="131"/>
      <c r="O868" s="131"/>
      <c r="P868" s="132"/>
      <c r="Q868" s="132"/>
      <c r="R868" s="159"/>
      <c r="S868" s="165" t="e">
        <f ca="1">__xlfn.XLOOKUP(H868,[1]Izvršenje_proračuna_po_pozicija!$B$2:$B$153,[1]Izvršenje_proračuna_po_pozicija!$E$2:$E$153,0)</f>
        <v>#NAME?</v>
      </c>
      <c r="T868" s="165"/>
      <c r="U868" s="165"/>
      <c r="V868" s="200"/>
      <c r="W868" s="200"/>
      <c r="X868" s="164"/>
      <c r="Y868" s="378"/>
      <c r="Z868" s="378"/>
      <c r="AA868" s="370" t="e">
        <f t="shared" ca="1" si="556"/>
        <v>#NAME?</v>
      </c>
      <c r="AB868" s="183"/>
      <c r="AC868" s="178"/>
      <c r="AD868" s="178"/>
      <c r="AE868" s="178"/>
      <c r="AF868" s="178"/>
      <c r="AG868" s="178"/>
      <c r="AH868" s="178"/>
      <c r="AI868" s="183"/>
      <c r="AJ868" s="378"/>
      <c r="AK868" s="171"/>
      <c r="AL868" s="171"/>
      <c r="AM868" s="171"/>
      <c r="AN868" s="165"/>
      <c r="AO868" s="193"/>
      <c r="AP868" s="193" t="e">
        <f t="shared" ca="1" si="555"/>
        <v>#NAME?</v>
      </c>
      <c r="AQ868" s="200"/>
      <c r="AR868" s="204"/>
      <c r="AS868" s="204"/>
      <c r="AT868" s="204"/>
      <c r="AU868" s="204"/>
      <c r="AV868" s="204"/>
    </row>
    <row r="869" spans="1:48" ht="12" customHeight="1">
      <c r="A869" s="53"/>
      <c r="B869" s="53"/>
      <c r="C869" s="53"/>
      <c r="D869" s="53"/>
      <c r="E869" s="53"/>
      <c r="F869" s="53"/>
      <c r="G869" s="53"/>
      <c r="H869" s="1" t="s">
        <v>706</v>
      </c>
      <c r="I869" s="397">
        <v>820</v>
      </c>
      <c r="J869" s="229">
        <v>3811</v>
      </c>
      <c r="K869" s="229" t="s">
        <v>707</v>
      </c>
      <c r="L869" s="130">
        <v>8000</v>
      </c>
      <c r="M869" s="130">
        <f>8000/7.5345</f>
        <v>1061.7824673170085</v>
      </c>
      <c r="N869" s="131"/>
      <c r="O869" s="131"/>
      <c r="P869" s="132"/>
      <c r="Q869" s="132"/>
      <c r="R869" s="159">
        <v>1000</v>
      </c>
      <c r="S869" s="165" t="e">
        <f ca="1">__xlfn.XLOOKUP(H869,[1]Izvršenje_proračuna_po_pozicija!$B$2:$B$153,[1]Izvršenje_proračuna_po_pozicija!$E$2:$E$153,0)</f>
        <v>#NAME?</v>
      </c>
      <c r="T869" s="165"/>
      <c r="U869" s="165"/>
      <c r="V869" s="200"/>
      <c r="W869" s="200"/>
      <c r="X869" s="164"/>
      <c r="Y869" s="378"/>
      <c r="Z869" s="378"/>
      <c r="AA869" s="370" t="e">
        <f t="shared" ca="1" si="556"/>
        <v>#NAME?</v>
      </c>
      <c r="AB869" s="183"/>
      <c r="AC869" s="178"/>
      <c r="AD869" s="178"/>
      <c r="AE869" s="178">
        <f>O869/M869*100</f>
        <v>0</v>
      </c>
      <c r="AF869" s="178"/>
      <c r="AG869" s="178"/>
      <c r="AH869" s="178"/>
      <c r="AI869" s="183"/>
      <c r="AJ869" s="378"/>
      <c r="AK869" s="171">
        <f t="shared" si="548"/>
        <v>0</v>
      </c>
      <c r="AL869" s="171"/>
      <c r="AM869" s="171"/>
      <c r="AN869" s="165"/>
      <c r="AO869" s="193"/>
      <c r="AP869" s="193" t="e">
        <f t="shared" ca="1" si="555"/>
        <v>#NAME?</v>
      </c>
      <c r="AQ869" s="200"/>
      <c r="AR869" s="204">
        <f t="shared" si="529"/>
        <v>0</v>
      </c>
      <c r="AS869" s="204"/>
      <c r="AT869" s="204">
        <f t="shared" si="530"/>
        <v>0</v>
      </c>
      <c r="AU869" s="204"/>
      <c r="AV869" s="204">
        <f t="shared" si="531"/>
        <v>0</v>
      </c>
    </row>
    <row r="870" spans="1:48" ht="12" customHeight="1">
      <c r="A870" s="53"/>
      <c r="B870" s="53"/>
      <c r="C870" s="53"/>
      <c r="D870" s="53"/>
      <c r="E870" s="53"/>
      <c r="F870" s="53"/>
      <c r="G870" s="53"/>
      <c r="H870" s="1" t="s">
        <v>708</v>
      </c>
      <c r="I870" s="397">
        <v>820</v>
      </c>
      <c r="J870" s="229">
        <v>3811</v>
      </c>
      <c r="K870" s="118" t="s">
        <v>709</v>
      </c>
      <c r="L870" s="130"/>
      <c r="M870" s="130"/>
      <c r="N870" s="131"/>
      <c r="O870" s="131"/>
      <c r="P870" s="132"/>
      <c r="Q870" s="132"/>
      <c r="R870" s="159"/>
      <c r="S870" s="165" t="e">
        <f ca="1">__xlfn.XLOOKUP(H870,[1]Izvršenje_proračuna_po_pozicija!$B$2:$B$153,[1]Izvršenje_proračuna_po_pozicija!$E$2:$E$153,0)</f>
        <v>#NAME?</v>
      </c>
      <c r="T870" s="165"/>
      <c r="U870" s="165"/>
      <c r="V870" s="200"/>
      <c r="W870" s="200"/>
      <c r="X870" s="164"/>
      <c r="Y870" s="378"/>
      <c r="Z870" s="378"/>
      <c r="AA870" s="370" t="e">
        <f t="shared" ca="1" si="556"/>
        <v>#NAME?</v>
      </c>
      <c r="AB870" s="183"/>
      <c r="AC870" s="178"/>
      <c r="AD870" s="178"/>
      <c r="AE870" s="178"/>
      <c r="AF870" s="178"/>
      <c r="AG870" s="178"/>
      <c r="AH870" s="178"/>
      <c r="AI870" s="183"/>
      <c r="AJ870" s="378"/>
      <c r="AK870" s="171"/>
      <c r="AL870" s="171"/>
      <c r="AM870" s="171"/>
      <c r="AN870" s="165"/>
      <c r="AO870" s="193"/>
      <c r="AP870" s="193" t="e">
        <f t="shared" ca="1" si="555"/>
        <v>#NAME?</v>
      </c>
      <c r="AQ870" s="200"/>
      <c r="AR870" s="204"/>
      <c r="AS870" s="204"/>
      <c r="AT870" s="204"/>
      <c r="AU870" s="204"/>
      <c r="AV870" s="204"/>
    </row>
    <row r="871" spans="1:48" ht="12" customHeight="1">
      <c r="A871" s="209"/>
      <c r="B871" s="209"/>
      <c r="C871" s="209"/>
      <c r="D871" s="209"/>
      <c r="E871" s="209"/>
      <c r="F871" s="209"/>
      <c r="G871" s="209"/>
      <c r="H871" s="1" t="s">
        <v>710</v>
      </c>
      <c r="I871" s="6">
        <v>820</v>
      </c>
      <c r="J871" s="229">
        <v>3811</v>
      </c>
      <c r="K871" s="278" t="s">
        <v>711</v>
      </c>
      <c r="L871" s="137">
        <v>14000</v>
      </c>
      <c r="M871" s="137">
        <f>14000/7.5345</f>
        <v>1858.1193178047647</v>
      </c>
      <c r="N871" s="348"/>
      <c r="O871" s="348"/>
      <c r="P871" s="349"/>
      <c r="Q871" s="349"/>
      <c r="R871" s="159">
        <v>6100</v>
      </c>
      <c r="S871" s="165" t="e">
        <f ca="1">__xlfn.XLOOKUP(H871,[1]Izvršenje_proračuna_po_pozicija!$B$2:$B$153,[1]Izvršenje_proračuna_po_pozicija!$E$2:$E$153,0)</f>
        <v>#NAME?</v>
      </c>
      <c r="T871" s="165"/>
      <c r="U871" s="165"/>
      <c r="V871" s="200"/>
      <c r="W871" s="200"/>
      <c r="X871" s="164"/>
      <c r="Y871" s="378"/>
      <c r="Z871" s="378"/>
      <c r="AA871" s="370" t="e">
        <f t="shared" ca="1" si="556"/>
        <v>#NAME?</v>
      </c>
      <c r="AB871" s="183"/>
      <c r="AC871" s="381"/>
      <c r="AD871" s="381"/>
      <c r="AE871" s="178">
        <f>O871/M871*100</f>
        <v>0</v>
      </c>
      <c r="AF871" s="178"/>
      <c r="AG871" s="178"/>
      <c r="AH871" s="178"/>
      <c r="AI871" s="183"/>
      <c r="AJ871" s="378"/>
      <c r="AK871" s="171">
        <f t="shared" si="548"/>
        <v>0</v>
      </c>
      <c r="AL871" s="171"/>
      <c r="AM871" s="171"/>
      <c r="AN871" s="165"/>
      <c r="AO871" s="193"/>
      <c r="AP871" s="193" t="e">
        <f t="shared" ca="1" si="555"/>
        <v>#NAME?</v>
      </c>
      <c r="AQ871" s="200"/>
      <c r="AR871" s="204">
        <f t="shared" si="529"/>
        <v>0</v>
      </c>
      <c r="AS871" s="204"/>
      <c r="AT871" s="204">
        <f t="shared" si="530"/>
        <v>0</v>
      </c>
      <c r="AU871" s="204"/>
      <c r="AV871" s="204">
        <f t="shared" si="531"/>
        <v>0</v>
      </c>
    </row>
    <row r="872" spans="1:48" ht="12" customHeight="1">
      <c r="A872" s="42"/>
      <c r="B872" s="42"/>
      <c r="C872" s="42"/>
      <c r="D872" s="42"/>
      <c r="E872" s="42"/>
      <c r="F872" s="42"/>
      <c r="G872" s="42"/>
      <c r="H872" s="308" t="s">
        <v>712</v>
      </c>
      <c r="I872" s="14"/>
      <c r="J872" s="2"/>
      <c r="K872" s="84" t="s">
        <v>713</v>
      </c>
      <c r="L872" s="85"/>
      <c r="M872" s="85"/>
      <c r="N872" s="86"/>
      <c r="O872" s="86"/>
      <c r="P872" s="87"/>
      <c r="Q872" s="87"/>
      <c r="R872" s="160"/>
      <c r="S872" s="165" t="e">
        <f ca="1">__xlfn.XLOOKUP(H872,[1]Izvršenje_proračuna_po_pozicija!$B$2:$B$153,[1]Izvršenje_proračuna_po_pozicija!$E$2:$E$153,0)</f>
        <v>#NAME?</v>
      </c>
      <c r="T872" s="165"/>
      <c r="U872" s="165"/>
      <c r="V872" s="200">
        <v>27800</v>
      </c>
      <c r="W872" s="200">
        <v>27800</v>
      </c>
      <c r="X872" s="361">
        <v>32000</v>
      </c>
      <c r="Y872" s="373">
        <v>35000</v>
      </c>
      <c r="Z872" s="373"/>
      <c r="AA872" s="370" t="e">
        <f t="shared" ca="1" si="556"/>
        <v>#NAME?</v>
      </c>
      <c r="AB872" s="181"/>
      <c r="AC872" s="182"/>
      <c r="AD872" s="182"/>
      <c r="AE872" s="178"/>
      <c r="AF872" s="178"/>
      <c r="AG872" s="178"/>
      <c r="AH872" s="178"/>
      <c r="AI872" s="181"/>
      <c r="AJ872" s="373">
        <v>35000</v>
      </c>
      <c r="AK872" s="171"/>
      <c r="AL872" s="171">
        <f t="shared" si="549"/>
        <v>115.10791366906474</v>
      </c>
      <c r="AM872" s="171">
        <f t="shared" si="549"/>
        <v>109.375</v>
      </c>
      <c r="AN872" s="161"/>
      <c r="AO872" s="193"/>
      <c r="AP872" s="193" t="e">
        <f t="shared" ca="1" si="555"/>
        <v>#NAME?</v>
      </c>
      <c r="AQ872" s="200">
        <v>27600</v>
      </c>
      <c r="AR872" s="204"/>
      <c r="AS872" s="204">
        <f>W872/V872*100</f>
        <v>100</v>
      </c>
      <c r="AT872" s="204"/>
      <c r="AU872" s="204">
        <f>AQ872/W872*100</f>
        <v>99.280575539568346</v>
      </c>
      <c r="AV872" s="204"/>
    </row>
    <row r="873" spans="1:48" ht="12" customHeight="1">
      <c r="A873" s="437"/>
      <c r="B873" s="437"/>
      <c r="C873" s="437"/>
      <c r="D873" s="437"/>
      <c r="E873" s="437"/>
      <c r="F873" s="437"/>
      <c r="G873" s="437"/>
      <c r="H873" s="438"/>
      <c r="I873" s="489" t="s">
        <v>714</v>
      </c>
      <c r="J873" s="490"/>
      <c r="K873" s="297"/>
      <c r="L873" s="112">
        <f t="shared" ref="L873:S873" si="557">L874+L882+L890</f>
        <v>151500</v>
      </c>
      <c r="M873" s="112">
        <f t="shared" si="557"/>
        <v>20107.505474815844</v>
      </c>
      <c r="N873" s="113">
        <f t="shared" si="557"/>
        <v>188679</v>
      </c>
      <c r="O873" s="113">
        <f t="shared" si="557"/>
        <v>25042.00676886323</v>
      </c>
      <c r="P873" s="114">
        <f t="shared" si="557"/>
        <v>23500</v>
      </c>
      <c r="Q873" s="114">
        <f t="shared" si="557"/>
        <v>26500</v>
      </c>
      <c r="R873" s="88">
        <f t="shared" si="557"/>
        <v>22638</v>
      </c>
      <c r="S873" s="90" t="e">
        <f t="shared" ca="1" si="557"/>
        <v>#NAME?</v>
      </c>
      <c r="T873" s="90"/>
      <c r="U873" s="90"/>
      <c r="V873" s="200">
        <f>V874+V882+V890</f>
        <v>27900</v>
      </c>
      <c r="W873" s="200">
        <f>W874+W882+W890</f>
        <v>28029</v>
      </c>
      <c r="X873" s="88">
        <f>X874+X882+X890</f>
        <v>32000</v>
      </c>
      <c r="Y873" s="171">
        <f>Y874+Y882+Y890</f>
        <v>36000</v>
      </c>
      <c r="Z873" s="171">
        <f>Z874+Z882+Z890</f>
        <v>0</v>
      </c>
      <c r="AA873" s="370" t="e">
        <f t="shared" ca="1" si="556"/>
        <v>#NAME?</v>
      </c>
      <c r="AB873" s="171"/>
      <c r="AC873" s="172">
        <f>AC874+AC882+AC890</f>
        <v>23500</v>
      </c>
      <c r="AD873" s="172">
        <f>AD874+AD882+AD890</f>
        <v>23500</v>
      </c>
      <c r="AE873" s="178">
        <f>O873/M873*100</f>
        <v>124.54059405940596</v>
      </c>
      <c r="AF873" s="178">
        <f>P873/O873*100</f>
        <v>93.842319495015332</v>
      </c>
      <c r="AG873" s="178">
        <f>Q873/P873*100</f>
        <v>112.7659574468085</v>
      </c>
      <c r="AH873" s="178">
        <f>AC873/Q873*100</f>
        <v>88.679245283018872</v>
      </c>
      <c r="AI873" s="171"/>
      <c r="AJ873" s="171">
        <v>36000</v>
      </c>
      <c r="AK873" s="171">
        <f t="shared" si="548"/>
        <v>123.81394116087993</v>
      </c>
      <c r="AL873" s="171">
        <f t="shared" si="549"/>
        <v>114.16746940668594</v>
      </c>
      <c r="AM873" s="171">
        <f t="shared" si="549"/>
        <v>112.5</v>
      </c>
      <c r="AN873" s="90"/>
      <c r="AO873" s="193"/>
      <c r="AP873" s="193" t="e">
        <f t="shared" ca="1" si="555"/>
        <v>#NAME?</v>
      </c>
      <c r="AQ873" s="200">
        <f>AQ874+AQ882+AQ890</f>
        <v>19690.8</v>
      </c>
      <c r="AR873" s="204">
        <f t="shared" si="529"/>
        <v>123.24410283593956</v>
      </c>
      <c r="AS873" s="204">
        <f>W873/V873*100</f>
        <v>100.46236559139786</v>
      </c>
      <c r="AT873" s="204">
        <f t="shared" si="530"/>
        <v>123.81394116087993</v>
      </c>
      <c r="AU873" s="204">
        <f>AQ873/W873*100</f>
        <v>70.251525206036604</v>
      </c>
      <c r="AV873" s="204">
        <f t="shared" si="531"/>
        <v>86.98118208322289</v>
      </c>
    </row>
    <row r="874" spans="1:48" ht="12" customHeight="1">
      <c r="A874" s="390" t="s">
        <v>331</v>
      </c>
      <c r="B874" s="391"/>
      <c r="C874" s="391"/>
      <c r="D874" s="391"/>
      <c r="E874" s="391"/>
      <c r="F874" s="391"/>
      <c r="G874" s="391"/>
      <c r="H874" s="392"/>
      <c r="I874" s="485" t="s">
        <v>715</v>
      </c>
      <c r="J874" s="486"/>
      <c r="K874" s="300"/>
      <c r="L874" s="112">
        <f t="shared" ref="L874:S874" si="558">L876</f>
        <v>43500</v>
      </c>
      <c r="M874" s="112">
        <f t="shared" si="558"/>
        <v>5773.4421660362332</v>
      </c>
      <c r="N874" s="113">
        <f t="shared" si="558"/>
        <v>20000</v>
      </c>
      <c r="O874" s="113">
        <f t="shared" si="558"/>
        <v>2654.4561682925209</v>
      </c>
      <c r="P874" s="114">
        <f t="shared" si="558"/>
        <v>6000</v>
      </c>
      <c r="Q874" s="114">
        <f t="shared" si="558"/>
        <v>9000</v>
      </c>
      <c r="R874" s="88">
        <f t="shared" si="558"/>
        <v>7400</v>
      </c>
      <c r="S874" s="90" t="e">
        <f t="shared" ca="1" si="558"/>
        <v>#NAME?</v>
      </c>
      <c r="T874" s="90"/>
      <c r="U874" s="90"/>
      <c r="V874" s="200">
        <f>V876</f>
        <v>9000</v>
      </c>
      <c r="W874" s="200">
        <f>W876</f>
        <v>9000</v>
      </c>
      <c r="X874" s="88">
        <f>X876</f>
        <v>10000</v>
      </c>
      <c r="Y874" s="171">
        <f>Y876</f>
        <v>11000</v>
      </c>
      <c r="Z874" s="171">
        <f>Z876</f>
        <v>0</v>
      </c>
      <c r="AA874" s="370" t="e">
        <f t="shared" ca="1" si="556"/>
        <v>#NAME?</v>
      </c>
      <c r="AB874" s="171"/>
      <c r="AC874" s="172">
        <f>AC876</f>
        <v>6000</v>
      </c>
      <c r="AD874" s="172">
        <f>AD876</f>
        <v>6000</v>
      </c>
      <c r="AE874" s="178">
        <f>O874/M874*100</f>
        <v>45.977011494252871</v>
      </c>
      <c r="AF874" s="178">
        <f>P874/O874*100</f>
        <v>226.03500000000003</v>
      </c>
      <c r="AG874" s="178">
        <f>Q874/P874*100</f>
        <v>150</v>
      </c>
      <c r="AH874" s="178">
        <f>AC874/Q874*100</f>
        <v>66.666666666666657</v>
      </c>
      <c r="AI874" s="171"/>
      <c r="AJ874" s="171">
        <v>11000</v>
      </c>
      <c r="AK874" s="171">
        <f t="shared" si="548"/>
        <v>121.62162162162163</v>
      </c>
      <c r="AL874" s="171">
        <f t="shared" si="549"/>
        <v>111.11111111111111</v>
      </c>
      <c r="AM874" s="171">
        <f t="shared" si="549"/>
        <v>110.00000000000001</v>
      </c>
      <c r="AN874" s="90"/>
      <c r="AO874" s="193"/>
      <c r="AP874" s="193" t="e">
        <f t="shared" ca="1" si="555"/>
        <v>#NAME?</v>
      </c>
      <c r="AQ874" s="200">
        <f>AQ876</f>
        <v>3100</v>
      </c>
      <c r="AR874" s="204">
        <f t="shared" si="529"/>
        <v>121.62162162162163</v>
      </c>
      <c r="AS874" s="204">
        <f>W874/V874*100</f>
        <v>100</v>
      </c>
      <c r="AT874" s="204">
        <f t="shared" si="530"/>
        <v>121.62162162162163</v>
      </c>
      <c r="AU874" s="204">
        <f>AQ874/W874*100</f>
        <v>34.444444444444443</v>
      </c>
      <c r="AV874" s="204">
        <f t="shared" si="531"/>
        <v>41.891891891891895</v>
      </c>
    </row>
    <row r="875" spans="1:48" ht="12" customHeight="1">
      <c r="A875" s="42"/>
      <c r="B875" s="42"/>
      <c r="C875" s="42"/>
      <c r="D875" s="42"/>
      <c r="E875" s="42"/>
      <c r="F875" s="42"/>
      <c r="G875" s="42"/>
      <c r="H875" s="308"/>
      <c r="I875" s="14"/>
      <c r="J875" s="2"/>
      <c r="K875" s="84"/>
      <c r="L875" s="85"/>
      <c r="M875" s="85"/>
      <c r="N875" s="86"/>
      <c r="O875" s="86"/>
      <c r="P875" s="87"/>
      <c r="Q875" s="87"/>
      <c r="R875" s="160"/>
      <c r="S875" s="165" t="e">
        <f ca="1">__xlfn.XLOOKUP(H875,[1]Izvršenje_proračuna_po_pozicija!$B$2:$B$153,[1]Izvršenje_proračuna_po_pozicija!$E$2:$E$153,0)</f>
        <v>#NAME?</v>
      </c>
      <c r="T875" s="165"/>
      <c r="U875" s="165"/>
      <c r="V875" s="200"/>
      <c r="W875" s="200"/>
      <c r="X875" s="361"/>
      <c r="Y875" s="373"/>
      <c r="Z875" s="373"/>
      <c r="AA875" s="370" t="e">
        <f t="shared" ca="1" si="556"/>
        <v>#NAME?</v>
      </c>
      <c r="AB875" s="181"/>
      <c r="AC875" s="182"/>
      <c r="AD875" s="182"/>
      <c r="AE875" s="178"/>
      <c r="AF875" s="178"/>
      <c r="AG875" s="178"/>
      <c r="AH875" s="178"/>
      <c r="AI875" s="181"/>
      <c r="AJ875" s="373"/>
      <c r="AK875" s="171"/>
      <c r="AL875" s="171"/>
      <c r="AM875" s="171"/>
      <c r="AN875" s="161"/>
      <c r="AO875" s="193"/>
      <c r="AP875" s="193" t="e">
        <f t="shared" ca="1" si="555"/>
        <v>#NAME?</v>
      </c>
      <c r="AQ875" s="200"/>
      <c r="AR875" s="204"/>
      <c r="AS875" s="204"/>
      <c r="AT875" s="204"/>
      <c r="AU875" s="204"/>
      <c r="AV875" s="204"/>
    </row>
    <row r="876" spans="1:48" ht="12" customHeight="1">
      <c r="A876" s="24"/>
      <c r="B876" s="24"/>
      <c r="C876" s="24"/>
      <c r="D876" s="24"/>
      <c r="E876" s="24"/>
      <c r="F876" s="24"/>
      <c r="G876" s="24"/>
      <c r="H876" s="393"/>
      <c r="I876" s="465"/>
      <c r="J876" s="281">
        <v>3</v>
      </c>
      <c r="K876" s="2" t="s">
        <v>224</v>
      </c>
      <c r="L876" s="112">
        <f t="shared" ref="L876:AD879" si="559">L877</f>
        <v>43500</v>
      </c>
      <c r="M876" s="112">
        <f t="shared" si="559"/>
        <v>5773.4421660362332</v>
      </c>
      <c r="N876" s="113">
        <f t="shared" si="559"/>
        <v>20000</v>
      </c>
      <c r="O876" s="113">
        <f t="shared" si="559"/>
        <v>2654.4561682925209</v>
      </c>
      <c r="P876" s="114">
        <f t="shared" si="559"/>
        <v>6000</v>
      </c>
      <c r="Q876" s="114">
        <f t="shared" si="559"/>
        <v>9000</v>
      </c>
      <c r="R876" s="88">
        <f t="shared" si="559"/>
        <v>7400</v>
      </c>
      <c r="S876" s="90" t="e">
        <f t="shared" ca="1" si="559"/>
        <v>#NAME?</v>
      </c>
      <c r="T876" s="90"/>
      <c r="U876" s="90"/>
      <c r="V876" s="200">
        <f>V877</f>
        <v>9000</v>
      </c>
      <c r="W876" s="200">
        <f t="shared" si="559"/>
        <v>9000</v>
      </c>
      <c r="X876" s="88">
        <f t="shared" si="559"/>
        <v>10000</v>
      </c>
      <c r="Y876" s="171">
        <f t="shared" si="559"/>
        <v>11000</v>
      </c>
      <c r="Z876" s="171">
        <f t="shared" si="559"/>
        <v>0</v>
      </c>
      <c r="AA876" s="370" t="e">
        <f t="shared" ca="1" si="556"/>
        <v>#NAME?</v>
      </c>
      <c r="AB876" s="171"/>
      <c r="AC876" s="172">
        <f t="shared" si="559"/>
        <v>6000</v>
      </c>
      <c r="AD876" s="172">
        <f t="shared" si="559"/>
        <v>6000</v>
      </c>
      <c r="AE876" s="178">
        <f>O876/M876*100</f>
        <v>45.977011494252871</v>
      </c>
      <c r="AF876" s="178">
        <f t="shared" ref="AF876:AG880" si="560">P876/O876*100</f>
        <v>226.03500000000003</v>
      </c>
      <c r="AG876" s="178">
        <f t="shared" si="560"/>
        <v>150</v>
      </c>
      <c r="AH876" s="178">
        <f>AC876/Q876*100</f>
        <v>66.666666666666657</v>
      </c>
      <c r="AI876" s="171"/>
      <c r="AJ876" s="171">
        <v>11000</v>
      </c>
      <c r="AK876" s="171">
        <f t="shared" si="548"/>
        <v>121.62162162162163</v>
      </c>
      <c r="AL876" s="171">
        <f t="shared" si="549"/>
        <v>111.11111111111111</v>
      </c>
      <c r="AM876" s="171">
        <f t="shared" si="549"/>
        <v>110.00000000000001</v>
      </c>
      <c r="AN876" s="90"/>
      <c r="AO876" s="193"/>
      <c r="AP876" s="193" t="e">
        <f t="shared" ca="1" si="555"/>
        <v>#NAME?</v>
      </c>
      <c r="AQ876" s="200">
        <f>AQ877</f>
        <v>3100</v>
      </c>
      <c r="AR876" s="204">
        <f t="shared" si="529"/>
        <v>121.62162162162163</v>
      </c>
      <c r="AS876" s="204">
        <f>W876/V876*100</f>
        <v>100</v>
      </c>
      <c r="AT876" s="204">
        <f t="shared" si="530"/>
        <v>121.62162162162163</v>
      </c>
      <c r="AU876" s="204">
        <f>AQ876/W876*100</f>
        <v>34.444444444444443</v>
      </c>
      <c r="AV876" s="204">
        <f t="shared" si="531"/>
        <v>41.891891891891895</v>
      </c>
    </row>
    <row r="877" spans="1:48" ht="12" customHeight="1">
      <c r="A877" s="301"/>
      <c r="B877" s="301"/>
      <c r="C877" s="301"/>
      <c r="D877" s="301"/>
      <c r="E877" s="301"/>
      <c r="F877" s="301"/>
      <c r="G877" s="301"/>
      <c r="H877" s="307"/>
      <c r="I877" s="350"/>
      <c r="J877" s="302">
        <v>38</v>
      </c>
      <c r="K877" s="343" t="s">
        <v>285</v>
      </c>
      <c r="L877" s="112">
        <f t="shared" si="559"/>
        <v>43500</v>
      </c>
      <c r="M877" s="112">
        <f t="shared" si="559"/>
        <v>5773.4421660362332</v>
      </c>
      <c r="N877" s="113">
        <f t="shared" si="559"/>
        <v>20000</v>
      </c>
      <c r="O877" s="113">
        <f t="shared" si="559"/>
        <v>2654.4561682925209</v>
      </c>
      <c r="P877" s="114">
        <f t="shared" si="559"/>
        <v>6000</v>
      </c>
      <c r="Q877" s="114">
        <f t="shared" si="559"/>
        <v>9000</v>
      </c>
      <c r="R877" s="88">
        <f t="shared" si="559"/>
        <v>7400</v>
      </c>
      <c r="S877" s="90" t="e">
        <f t="shared" ca="1" si="559"/>
        <v>#NAME?</v>
      </c>
      <c r="T877" s="90"/>
      <c r="U877" s="90"/>
      <c r="V877" s="200">
        <f>V878</f>
        <v>9000</v>
      </c>
      <c r="W877" s="200">
        <f t="shared" si="559"/>
        <v>9000</v>
      </c>
      <c r="X877" s="88">
        <f t="shared" si="559"/>
        <v>10000</v>
      </c>
      <c r="Y877" s="171">
        <f t="shared" si="559"/>
        <v>11000</v>
      </c>
      <c r="Z877" s="171">
        <f t="shared" si="559"/>
        <v>0</v>
      </c>
      <c r="AA877" s="370" t="e">
        <f t="shared" ca="1" si="556"/>
        <v>#NAME?</v>
      </c>
      <c r="AB877" s="171"/>
      <c r="AC877" s="172">
        <f t="shared" si="559"/>
        <v>6000</v>
      </c>
      <c r="AD877" s="172">
        <f t="shared" si="559"/>
        <v>6000</v>
      </c>
      <c r="AE877" s="178">
        <f>O877/M877*100</f>
        <v>45.977011494252871</v>
      </c>
      <c r="AF877" s="178">
        <f t="shared" si="560"/>
        <v>226.03500000000003</v>
      </c>
      <c r="AG877" s="178">
        <f t="shared" si="560"/>
        <v>150</v>
      </c>
      <c r="AH877" s="178">
        <f>AC877/Q877*100</f>
        <v>66.666666666666657</v>
      </c>
      <c r="AI877" s="171"/>
      <c r="AJ877" s="171">
        <v>11000</v>
      </c>
      <c r="AK877" s="171">
        <f t="shared" si="548"/>
        <v>121.62162162162163</v>
      </c>
      <c r="AL877" s="171">
        <f t="shared" si="549"/>
        <v>111.11111111111111</v>
      </c>
      <c r="AM877" s="171">
        <f t="shared" si="549"/>
        <v>110.00000000000001</v>
      </c>
      <c r="AN877" s="90"/>
      <c r="AO877" s="193"/>
      <c r="AP877" s="193" t="e">
        <f t="shared" ca="1" si="555"/>
        <v>#NAME?</v>
      </c>
      <c r="AQ877" s="200">
        <f>AQ878</f>
        <v>3100</v>
      </c>
      <c r="AR877" s="204">
        <f t="shared" si="529"/>
        <v>121.62162162162163</v>
      </c>
      <c r="AS877" s="204">
        <f>W877/V877*100</f>
        <v>100</v>
      </c>
      <c r="AT877" s="204">
        <f t="shared" si="530"/>
        <v>121.62162162162163</v>
      </c>
      <c r="AU877" s="204">
        <f>AQ877/W877*100</f>
        <v>34.444444444444443</v>
      </c>
      <c r="AV877" s="204">
        <f t="shared" si="531"/>
        <v>41.891891891891895</v>
      </c>
    </row>
    <row r="878" spans="1:48" ht="12" customHeight="1">
      <c r="A878" s="62"/>
      <c r="B878" s="62"/>
      <c r="C878" s="62"/>
      <c r="D878" s="62"/>
      <c r="E878" s="62"/>
      <c r="F878" s="62"/>
      <c r="G878" s="62"/>
      <c r="H878" s="304"/>
      <c r="I878" s="464"/>
      <c r="J878" s="303">
        <v>381</v>
      </c>
      <c r="K878" s="19" t="s">
        <v>407</v>
      </c>
      <c r="L878" s="112">
        <f t="shared" si="559"/>
        <v>43500</v>
      </c>
      <c r="M878" s="112">
        <f t="shared" si="559"/>
        <v>5773.4421660362332</v>
      </c>
      <c r="N878" s="113">
        <f t="shared" si="559"/>
        <v>20000</v>
      </c>
      <c r="O878" s="113">
        <f t="shared" si="559"/>
        <v>2654.4561682925209</v>
      </c>
      <c r="P878" s="114">
        <f t="shared" si="559"/>
        <v>6000</v>
      </c>
      <c r="Q878" s="114">
        <f t="shared" si="559"/>
        <v>9000</v>
      </c>
      <c r="R878" s="88">
        <f t="shared" si="559"/>
        <v>7400</v>
      </c>
      <c r="S878" s="90" t="e">
        <f t="shared" ca="1" si="559"/>
        <v>#NAME?</v>
      </c>
      <c r="T878" s="90"/>
      <c r="U878" s="90"/>
      <c r="V878" s="200">
        <f>V879</f>
        <v>9000</v>
      </c>
      <c r="W878" s="200">
        <f t="shared" si="559"/>
        <v>9000</v>
      </c>
      <c r="X878" s="88">
        <f t="shared" si="559"/>
        <v>10000</v>
      </c>
      <c r="Y878" s="171">
        <f t="shared" si="559"/>
        <v>11000</v>
      </c>
      <c r="Z878" s="171">
        <f t="shared" si="559"/>
        <v>0</v>
      </c>
      <c r="AA878" s="370" t="e">
        <f t="shared" ca="1" si="556"/>
        <v>#NAME?</v>
      </c>
      <c r="AB878" s="171"/>
      <c r="AC878" s="172">
        <f t="shared" si="559"/>
        <v>6000</v>
      </c>
      <c r="AD878" s="172">
        <f t="shared" si="559"/>
        <v>6000</v>
      </c>
      <c r="AE878" s="178">
        <f>O878/M878*100</f>
        <v>45.977011494252871</v>
      </c>
      <c r="AF878" s="178">
        <f t="shared" si="560"/>
        <v>226.03500000000003</v>
      </c>
      <c r="AG878" s="178">
        <f t="shared" si="560"/>
        <v>150</v>
      </c>
      <c r="AH878" s="178">
        <f>AC878/Q878*100</f>
        <v>66.666666666666657</v>
      </c>
      <c r="AI878" s="171"/>
      <c r="AJ878" s="171">
        <v>11000</v>
      </c>
      <c r="AK878" s="171">
        <f t="shared" si="548"/>
        <v>121.62162162162163</v>
      </c>
      <c r="AL878" s="171">
        <f t="shared" si="549"/>
        <v>111.11111111111111</v>
      </c>
      <c r="AM878" s="171">
        <f t="shared" si="549"/>
        <v>110.00000000000001</v>
      </c>
      <c r="AN878" s="90"/>
      <c r="AO878" s="193"/>
      <c r="AP878" s="193" t="e">
        <f t="shared" ca="1" si="555"/>
        <v>#NAME?</v>
      </c>
      <c r="AQ878" s="200">
        <f>AQ879</f>
        <v>3100</v>
      </c>
      <c r="AR878" s="204">
        <f t="shared" si="529"/>
        <v>121.62162162162163</v>
      </c>
      <c r="AS878" s="204">
        <f>W878/V878*100</f>
        <v>100</v>
      </c>
      <c r="AT878" s="204">
        <f t="shared" si="530"/>
        <v>121.62162162162163</v>
      </c>
      <c r="AU878" s="204">
        <f>AQ878/W878*100</f>
        <v>34.444444444444443</v>
      </c>
      <c r="AV878" s="204">
        <f t="shared" si="531"/>
        <v>41.891891891891895</v>
      </c>
    </row>
    <row r="879" spans="1:48" ht="12" customHeight="1">
      <c r="A879" s="53"/>
      <c r="B879" s="53"/>
      <c r="C879" s="53"/>
      <c r="D879" s="53"/>
      <c r="E879" s="53"/>
      <c r="F879" s="53"/>
      <c r="G879" s="53"/>
      <c r="H879" s="1"/>
      <c r="I879" s="397"/>
      <c r="J879" s="229">
        <v>3811</v>
      </c>
      <c r="K879" s="18" t="s">
        <v>286</v>
      </c>
      <c r="L879" s="112">
        <f t="shared" si="559"/>
        <v>43500</v>
      </c>
      <c r="M879" s="112">
        <f t="shared" si="559"/>
        <v>5773.4421660362332</v>
      </c>
      <c r="N879" s="113">
        <f t="shared" si="559"/>
        <v>20000</v>
      </c>
      <c r="O879" s="113">
        <f t="shared" si="559"/>
        <v>2654.4561682925209</v>
      </c>
      <c r="P879" s="114">
        <f t="shared" si="559"/>
        <v>6000</v>
      </c>
      <c r="Q879" s="114">
        <f t="shared" si="559"/>
        <v>9000</v>
      </c>
      <c r="R879" s="88">
        <f t="shared" si="559"/>
        <v>7400</v>
      </c>
      <c r="S879" s="90" t="e">
        <f t="shared" ca="1" si="559"/>
        <v>#NAME?</v>
      </c>
      <c r="T879" s="90"/>
      <c r="U879" s="90"/>
      <c r="V879" s="200">
        <f>V880</f>
        <v>9000</v>
      </c>
      <c r="W879" s="200">
        <f t="shared" si="559"/>
        <v>9000</v>
      </c>
      <c r="X879" s="88">
        <f t="shared" si="559"/>
        <v>10000</v>
      </c>
      <c r="Y879" s="171">
        <f t="shared" si="559"/>
        <v>11000</v>
      </c>
      <c r="Z879" s="171">
        <f t="shared" si="559"/>
        <v>0</v>
      </c>
      <c r="AA879" s="370" t="e">
        <f t="shared" ca="1" si="556"/>
        <v>#NAME?</v>
      </c>
      <c r="AB879" s="171"/>
      <c r="AC879" s="172">
        <f>AC880</f>
        <v>6000</v>
      </c>
      <c r="AD879" s="172">
        <f>AD880</f>
        <v>6000</v>
      </c>
      <c r="AE879" s="178">
        <f>O879/M879*100</f>
        <v>45.977011494252871</v>
      </c>
      <c r="AF879" s="178">
        <f t="shared" si="560"/>
        <v>226.03500000000003</v>
      </c>
      <c r="AG879" s="178">
        <f t="shared" si="560"/>
        <v>150</v>
      </c>
      <c r="AH879" s="178">
        <f>AC879/Q879*100</f>
        <v>66.666666666666657</v>
      </c>
      <c r="AI879" s="171"/>
      <c r="AJ879" s="171">
        <v>11000</v>
      </c>
      <c r="AK879" s="171">
        <f t="shared" si="548"/>
        <v>121.62162162162163</v>
      </c>
      <c r="AL879" s="171">
        <f t="shared" si="549"/>
        <v>111.11111111111111</v>
      </c>
      <c r="AM879" s="171">
        <f t="shared" si="549"/>
        <v>110.00000000000001</v>
      </c>
      <c r="AN879" s="90"/>
      <c r="AO879" s="193"/>
      <c r="AP879" s="193" t="e">
        <f t="shared" ca="1" si="555"/>
        <v>#NAME?</v>
      </c>
      <c r="AQ879" s="200">
        <f>AQ880</f>
        <v>3100</v>
      </c>
      <c r="AR879" s="204">
        <f t="shared" si="529"/>
        <v>121.62162162162163</v>
      </c>
      <c r="AS879" s="204">
        <f>W879/V879*100</f>
        <v>100</v>
      </c>
      <c r="AT879" s="204">
        <f t="shared" si="530"/>
        <v>121.62162162162163</v>
      </c>
      <c r="AU879" s="204">
        <f>AQ879/W879*100</f>
        <v>34.444444444444443</v>
      </c>
      <c r="AV879" s="204">
        <f t="shared" si="531"/>
        <v>41.891891891891895</v>
      </c>
    </row>
    <row r="880" spans="1:48" ht="12" customHeight="1">
      <c r="A880" s="53"/>
      <c r="B880" s="53"/>
      <c r="C880" s="53"/>
      <c r="D880" s="53"/>
      <c r="E880" s="53"/>
      <c r="F880" s="53"/>
      <c r="G880" s="53"/>
      <c r="H880" s="1">
        <v>136</v>
      </c>
      <c r="I880" s="397">
        <v>840</v>
      </c>
      <c r="J880" s="229">
        <v>3811</v>
      </c>
      <c r="K880" s="18" t="s">
        <v>716</v>
      </c>
      <c r="L880" s="130">
        <v>43500</v>
      </c>
      <c r="M880" s="130">
        <f>43500/7.5345</f>
        <v>5773.4421660362332</v>
      </c>
      <c r="N880" s="131">
        <v>20000</v>
      </c>
      <c r="O880" s="131">
        <f>N880/7.5345</f>
        <v>2654.4561682925209</v>
      </c>
      <c r="P880" s="132">
        <v>6000</v>
      </c>
      <c r="Q880" s="163">
        <v>9000</v>
      </c>
      <c r="R880" s="159">
        <v>7400</v>
      </c>
      <c r="S880" s="165" t="e">
        <f ca="1">__xlfn.XLOOKUP(H880,[1]Izvršenje_proračuna_po_pozicija!$B$2:$B$153,[1]Izvršenje_proračuna_po_pozicija!$E$2:$E$153,0)</f>
        <v>#NAME?</v>
      </c>
      <c r="T880" s="165"/>
      <c r="U880" s="165"/>
      <c r="V880" s="200">
        <v>9000</v>
      </c>
      <c r="W880" s="200">
        <v>9000</v>
      </c>
      <c r="X880" s="164">
        <v>10000</v>
      </c>
      <c r="Y880" s="378">
        <v>11000</v>
      </c>
      <c r="Z880" s="378"/>
      <c r="AA880" s="370" t="e">
        <f t="shared" ca="1" si="556"/>
        <v>#NAME?</v>
      </c>
      <c r="AB880" s="183"/>
      <c r="AC880" s="178">
        <v>6000</v>
      </c>
      <c r="AD880" s="178">
        <v>6000</v>
      </c>
      <c r="AE880" s="178">
        <f>O880/M880*100</f>
        <v>45.977011494252871</v>
      </c>
      <c r="AF880" s="178">
        <f t="shared" si="560"/>
        <v>226.03500000000003</v>
      </c>
      <c r="AG880" s="178">
        <f t="shared" si="560"/>
        <v>150</v>
      </c>
      <c r="AH880" s="178">
        <f>AC880/Q880*100</f>
        <v>66.666666666666657</v>
      </c>
      <c r="AI880" s="183"/>
      <c r="AJ880" s="378">
        <v>11000</v>
      </c>
      <c r="AK880" s="171">
        <f t="shared" si="548"/>
        <v>121.62162162162163</v>
      </c>
      <c r="AL880" s="171">
        <f t="shared" si="549"/>
        <v>111.11111111111111</v>
      </c>
      <c r="AM880" s="171">
        <f t="shared" si="549"/>
        <v>110.00000000000001</v>
      </c>
      <c r="AN880" s="165"/>
      <c r="AO880" s="193"/>
      <c r="AP880" s="193" t="e">
        <f t="shared" ca="1" si="555"/>
        <v>#NAME?</v>
      </c>
      <c r="AQ880" s="200">
        <v>3100</v>
      </c>
      <c r="AR880" s="204">
        <f t="shared" si="529"/>
        <v>121.62162162162163</v>
      </c>
      <c r="AS880" s="204">
        <f>W880/V880*100</f>
        <v>100</v>
      </c>
      <c r="AT880" s="204">
        <f t="shared" si="530"/>
        <v>121.62162162162163</v>
      </c>
      <c r="AU880" s="204">
        <f>AQ880/W880*100</f>
        <v>34.444444444444443</v>
      </c>
      <c r="AV880" s="204">
        <f t="shared" si="531"/>
        <v>41.891891891891895</v>
      </c>
    </row>
    <row r="881" spans="1:48" ht="12" customHeight="1">
      <c r="A881" s="69"/>
      <c r="B881" s="69"/>
      <c r="C881" s="69"/>
      <c r="D881" s="69"/>
      <c r="E881" s="69"/>
      <c r="F881" s="69"/>
      <c r="G881" s="69"/>
      <c r="H881" s="436"/>
      <c r="I881" s="3"/>
      <c r="J881" s="7"/>
      <c r="K881" s="7"/>
      <c r="L881" s="85"/>
      <c r="M881" s="85"/>
      <c r="N881" s="86"/>
      <c r="O881" s="86"/>
      <c r="P881" s="87"/>
      <c r="Q881" s="87"/>
      <c r="R881" s="160"/>
      <c r="S881" s="165" t="e">
        <f ca="1">__xlfn.XLOOKUP(H881,[1]Izvršenje_proračuna_po_pozicija!$B$2:$B$153,[1]Izvršenje_proračuna_po_pozicija!$E$2:$E$153,0)</f>
        <v>#NAME?</v>
      </c>
      <c r="T881" s="165"/>
      <c r="U881" s="165"/>
      <c r="V881" s="200"/>
      <c r="W881" s="200"/>
      <c r="X881" s="361"/>
      <c r="Y881" s="373"/>
      <c r="Z881" s="373"/>
      <c r="AA881" s="370" t="e">
        <f t="shared" ca="1" si="556"/>
        <v>#NAME?</v>
      </c>
      <c r="AB881" s="181"/>
      <c r="AC881" s="182"/>
      <c r="AD881" s="182"/>
      <c r="AE881" s="178"/>
      <c r="AF881" s="178"/>
      <c r="AG881" s="178"/>
      <c r="AH881" s="178"/>
      <c r="AI881" s="181"/>
      <c r="AJ881" s="373"/>
      <c r="AK881" s="171"/>
      <c r="AL881" s="171"/>
      <c r="AM881" s="171"/>
      <c r="AN881" s="161"/>
      <c r="AO881" s="193"/>
      <c r="AP881" s="193" t="e">
        <f t="shared" ca="1" si="555"/>
        <v>#NAME?</v>
      </c>
      <c r="AQ881" s="200"/>
      <c r="AR881" s="204"/>
      <c r="AS881" s="204"/>
      <c r="AT881" s="204"/>
      <c r="AU881" s="204"/>
      <c r="AV881" s="204"/>
    </row>
    <row r="882" spans="1:48" ht="12" customHeight="1">
      <c r="A882" s="390" t="s">
        <v>366</v>
      </c>
      <c r="B882" s="391"/>
      <c r="C882" s="391"/>
      <c r="D882" s="391"/>
      <c r="E882" s="391"/>
      <c r="F882" s="391"/>
      <c r="G882" s="391"/>
      <c r="H882" s="392"/>
      <c r="I882" s="485" t="s">
        <v>717</v>
      </c>
      <c r="J882" s="486"/>
      <c r="K882" s="300"/>
      <c r="L882" s="112">
        <f t="shared" ref="L882:S882" si="561">L884</f>
        <v>0</v>
      </c>
      <c r="M882" s="112">
        <f t="shared" si="561"/>
        <v>0</v>
      </c>
      <c r="N882" s="113">
        <f t="shared" si="561"/>
        <v>66038</v>
      </c>
      <c r="O882" s="113">
        <f t="shared" si="561"/>
        <v>8764.7488220850755</v>
      </c>
      <c r="P882" s="114">
        <f t="shared" si="561"/>
        <v>3500</v>
      </c>
      <c r="Q882" s="114">
        <f t="shared" si="561"/>
        <v>3500</v>
      </c>
      <c r="R882" s="88">
        <f t="shared" si="561"/>
        <v>3238</v>
      </c>
      <c r="S882" s="90" t="e">
        <f t="shared" ca="1" si="561"/>
        <v>#NAME?</v>
      </c>
      <c r="T882" s="90"/>
      <c r="U882" s="90"/>
      <c r="V882" s="200">
        <f>V884</f>
        <v>3500</v>
      </c>
      <c r="W882" s="200">
        <f>W884</f>
        <v>3500</v>
      </c>
      <c r="X882" s="88">
        <f>X884</f>
        <v>4000</v>
      </c>
      <c r="Y882" s="171">
        <f>Y884</f>
        <v>5000</v>
      </c>
      <c r="Z882" s="171">
        <f>Z884</f>
        <v>0</v>
      </c>
      <c r="AA882" s="370" t="e">
        <f t="shared" ca="1" si="556"/>
        <v>#NAME?</v>
      </c>
      <c r="AB882" s="171"/>
      <c r="AC882" s="172">
        <f>AC884</f>
        <v>3500</v>
      </c>
      <c r="AD882" s="172">
        <f>AD884</f>
        <v>3500</v>
      </c>
      <c r="AE882" s="178"/>
      <c r="AF882" s="178"/>
      <c r="AG882" s="178"/>
      <c r="AH882" s="178"/>
      <c r="AI882" s="171"/>
      <c r="AJ882" s="171">
        <v>5000</v>
      </c>
      <c r="AK882" s="171">
        <f t="shared" si="548"/>
        <v>108.09141445336627</v>
      </c>
      <c r="AL882" s="171">
        <f t="shared" si="549"/>
        <v>114.28571428571428</v>
      </c>
      <c r="AM882" s="171">
        <f t="shared" si="549"/>
        <v>125</v>
      </c>
      <c r="AN882" s="90"/>
      <c r="AO882" s="193"/>
      <c r="AP882" s="193" t="e">
        <f t="shared" ca="1" si="555"/>
        <v>#NAME?</v>
      </c>
      <c r="AQ882" s="200">
        <f>AQ884</f>
        <v>1061.8</v>
      </c>
      <c r="AR882" s="204">
        <f t="shared" si="529"/>
        <v>108.09141445336627</v>
      </c>
      <c r="AS882" s="204">
        <f>W882/V882*100</f>
        <v>100</v>
      </c>
      <c r="AT882" s="204">
        <f t="shared" si="530"/>
        <v>108.09141445336627</v>
      </c>
      <c r="AU882" s="204">
        <f>AQ882/W882*100</f>
        <v>30.337142857142858</v>
      </c>
      <c r="AV882" s="204">
        <f t="shared" si="531"/>
        <v>32.791846819024087</v>
      </c>
    </row>
    <row r="883" spans="1:48" ht="12" customHeight="1">
      <c r="A883" s="53"/>
      <c r="B883" s="53"/>
      <c r="C883" s="53"/>
      <c r="D883" s="53"/>
      <c r="E883" s="53"/>
      <c r="F883" s="53"/>
      <c r="G883" s="53"/>
      <c r="H883" s="1"/>
      <c r="I883" s="397"/>
      <c r="J883" s="229"/>
      <c r="K883" s="18"/>
      <c r="L883" s="466"/>
      <c r="M883" s="466"/>
      <c r="N883" s="467"/>
      <c r="O883" s="467"/>
      <c r="P883" s="468"/>
      <c r="Q883" s="468"/>
      <c r="R883" s="282"/>
      <c r="S883" s="165" t="e">
        <f ca="1">__xlfn.XLOOKUP(H883,[1]Izvršenje_proračuna_po_pozicija!$B$2:$B$153,[1]Izvršenje_proračuna_po_pozicija!$E$2:$E$153,0)</f>
        <v>#NAME?</v>
      </c>
      <c r="T883" s="165"/>
      <c r="U883" s="165"/>
      <c r="V883" s="200"/>
      <c r="W883" s="200"/>
      <c r="X883" s="167"/>
      <c r="Y883" s="424"/>
      <c r="Z883" s="424"/>
      <c r="AA883" s="370" t="e">
        <f t="shared" ca="1" si="556"/>
        <v>#NAME?</v>
      </c>
      <c r="AB883" s="223"/>
      <c r="AC883" s="224"/>
      <c r="AD883" s="224"/>
      <c r="AE883" s="178"/>
      <c r="AF883" s="178"/>
      <c r="AG883" s="178"/>
      <c r="AH883" s="178"/>
      <c r="AI883" s="223"/>
      <c r="AJ883" s="424"/>
      <c r="AK883" s="171"/>
      <c r="AL883" s="171"/>
      <c r="AM883" s="171"/>
      <c r="AN883" s="222"/>
      <c r="AO883" s="193"/>
      <c r="AP883" s="193" t="e">
        <f t="shared" ca="1" si="555"/>
        <v>#NAME?</v>
      </c>
      <c r="AQ883" s="200"/>
      <c r="AR883" s="204"/>
      <c r="AS883" s="204"/>
      <c r="AT883" s="204"/>
      <c r="AU883" s="204"/>
      <c r="AV883" s="204"/>
    </row>
    <row r="884" spans="1:48" ht="12" customHeight="1">
      <c r="A884" s="24"/>
      <c r="B884" s="24"/>
      <c r="C884" s="24"/>
      <c r="D884" s="24"/>
      <c r="E884" s="24"/>
      <c r="F884" s="24"/>
      <c r="G884" s="24"/>
      <c r="H884" s="393"/>
      <c r="I884" s="465"/>
      <c r="J884" s="281">
        <v>3</v>
      </c>
      <c r="K884" s="2" t="s">
        <v>224</v>
      </c>
      <c r="L884" s="112">
        <f t="shared" ref="L884:AD887" si="562">L885</f>
        <v>0</v>
      </c>
      <c r="M884" s="112">
        <f t="shared" si="562"/>
        <v>0</v>
      </c>
      <c r="N884" s="113">
        <f t="shared" si="562"/>
        <v>66038</v>
      </c>
      <c r="O884" s="113">
        <f t="shared" si="562"/>
        <v>8764.7488220850755</v>
      </c>
      <c r="P884" s="114">
        <f t="shared" si="562"/>
        <v>3500</v>
      </c>
      <c r="Q884" s="114">
        <f t="shared" si="562"/>
        <v>3500</v>
      </c>
      <c r="R884" s="88">
        <f t="shared" si="562"/>
        <v>3238</v>
      </c>
      <c r="S884" s="90" t="e">
        <f t="shared" ca="1" si="562"/>
        <v>#NAME?</v>
      </c>
      <c r="T884" s="90"/>
      <c r="U884" s="90"/>
      <c r="V884" s="200">
        <f>V885</f>
        <v>3500</v>
      </c>
      <c r="W884" s="200">
        <f t="shared" si="562"/>
        <v>3500</v>
      </c>
      <c r="X884" s="88">
        <f t="shared" si="562"/>
        <v>4000</v>
      </c>
      <c r="Y884" s="171">
        <f t="shared" si="562"/>
        <v>5000</v>
      </c>
      <c r="Z884" s="171">
        <f t="shared" si="562"/>
        <v>0</v>
      </c>
      <c r="AA884" s="370" t="e">
        <f t="shared" ca="1" si="556"/>
        <v>#NAME?</v>
      </c>
      <c r="AB884" s="171"/>
      <c r="AC884" s="172">
        <f t="shared" si="562"/>
        <v>3500</v>
      </c>
      <c r="AD884" s="172">
        <f t="shared" si="562"/>
        <v>3500</v>
      </c>
      <c r="AE884" s="178"/>
      <c r="AF884" s="178"/>
      <c r="AG884" s="178"/>
      <c r="AH884" s="178"/>
      <c r="AI884" s="171"/>
      <c r="AJ884" s="171">
        <v>5000</v>
      </c>
      <c r="AK884" s="171">
        <f t="shared" si="548"/>
        <v>108.09141445336627</v>
      </c>
      <c r="AL884" s="171">
        <f t="shared" si="549"/>
        <v>114.28571428571428</v>
      </c>
      <c r="AM884" s="171">
        <f t="shared" si="549"/>
        <v>125</v>
      </c>
      <c r="AN884" s="90"/>
      <c r="AO884" s="193"/>
      <c r="AP884" s="193" t="e">
        <f t="shared" ca="1" si="555"/>
        <v>#NAME?</v>
      </c>
      <c r="AQ884" s="200">
        <f>AQ885</f>
        <v>1061.8</v>
      </c>
      <c r="AR884" s="204">
        <f t="shared" si="529"/>
        <v>108.09141445336627</v>
      </c>
      <c r="AS884" s="204">
        <f>W884/V884*100</f>
        <v>100</v>
      </c>
      <c r="AT884" s="204">
        <f t="shared" si="530"/>
        <v>108.09141445336627</v>
      </c>
      <c r="AU884" s="204">
        <f>AQ884/W884*100</f>
        <v>30.337142857142858</v>
      </c>
      <c r="AV884" s="204">
        <f t="shared" si="531"/>
        <v>32.791846819024087</v>
      </c>
    </row>
    <row r="885" spans="1:48" ht="12" customHeight="1">
      <c r="A885" s="301"/>
      <c r="B885" s="301"/>
      <c r="C885" s="301"/>
      <c r="D885" s="301"/>
      <c r="E885" s="301"/>
      <c r="F885" s="301"/>
      <c r="G885" s="301"/>
      <c r="H885" s="307"/>
      <c r="I885" s="350"/>
      <c r="J885" s="302">
        <v>38</v>
      </c>
      <c r="K885" s="343" t="s">
        <v>285</v>
      </c>
      <c r="L885" s="112">
        <f t="shared" si="562"/>
        <v>0</v>
      </c>
      <c r="M885" s="112">
        <f t="shared" si="562"/>
        <v>0</v>
      </c>
      <c r="N885" s="113">
        <f t="shared" si="562"/>
        <v>66038</v>
      </c>
      <c r="O885" s="113">
        <f t="shared" si="562"/>
        <v>8764.7488220850755</v>
      </c>
      <c r="P885" s="114">
        <f t="shared" si="562"/>
        <v>3500</v>
      </c>
      <c r="Q885" s="114">
        <f t="shared" si="562"/>
        <v>3500</v>
      </c>
      <c r="R885" s="88">
        <f t="shared" si="562"/>
        <v>3238</v>
      </c>
      <c r="S885" s="90" t="e">
        <f t="shared" ca="1" si="562"/>
        <v>#NAME?</v>
      </c>
      <c r="T885" s="90"/>
      <c r="U885" s="90"/>
      <c r="V885" s="200">
        <f>V886</f>
        <v>3500</v>
      </c>
      <c r="W885" s="200">
        <f t="shared" si="562"/>
        <v>3500</v>
      </c>
      <c r="X885" s="88">
        <f t="shared" si="562"/>
        <v>4000</v>
      </c>
      <c r="Y885" s="171">
        <f t="shared" si="562"/>
        <v>5000</v>
      </c>
      <c r="Z885" s="171">
        <f t="shared" si="562"/>
        <v>0</v>
      </c>
      <c r="AA885" s="370" t="e">
        <f t="shared" ca="1" si="556"/>
        <v>#NAME?</v>
      </c>
      <c r="AB885" s="171"/>
      <c r="AC885" s="172">
        <f t="shared" si="562"/>
        <v>3500</v>
      </c>
      <c r="AD885" s="172">
        <f t="shared" si="562"/>
        <v>3500</v>
      </c>
      <c r="AE885" s="178"/>
      <c r="AF885" s="178"/>
      <c r="AG885" s="178"/>
      <c r="AH885" s="178"/>
      <c r="AI885" s="171"/>
      <c r="AJ885" s="171">
        <v>5000</v>
      </c>
      <c r="AK885" s="171">
        <f t="shared" si="548"/>
        <v>108.09141445336627</v>
      </c>
      <c r="AL885" s="171">
        <f t="shared" si="549"/>
        <v>114.28571428571428</v>
      </c>
      <c r="AM885" s="171">
        <f t="shared" si="549"/>
        <v>125</v>
      </c>
      <c r="AN885" s="90"/>
      <c r="AO885" s="193"/>
      <c r="AP885" s="193" t="e">
        <f t="shared" ca="1" si="555"/>
        <v>#NAME?</v>
      </c>
      <c r="AQ885" s="200">
        <f>AQ886</f>
        <v>1061.8</v>
      </c>
      <c r="AR885" s="204">
        <f t="shared" ref="AR885:AR913" si="563">V885/R885*100</f>
        <v>108.09141445336627</v>
      </c>
      <c r="AS885" s="204">
        <f>W885/V885*100</f>
        <v>100</v>
      </c>
      <c r="AT885" s="204">
        <f t="shared" ref="AT885:AT913" si="564">W885/R885*100</f>
        <v>108.09141445336627</v>
      </c>
      <c r="AU885" s="204">
        <f>AQ885/W885*100</f>
        <v>30.337142857142858</v>
      </c>
      <c r="AV885" s="204">
        <f t="shared" ref="AV885:AV913" si="565">AQ885/R885*100</f>
        <v>32.791846819024087</v>
      </c>
    </row>
    <row r="886" spans="1:48" ht="12" customHeight="1">
      <c r="A886" s="62"/>
      <c r="B886" s="62"/>
      <c r="C886" s="62"/>
      <c r="D886" s="62"/>
      <c r="E886" s="62"/>
      <c r="F886" s="62"/>
      <c r="G886" s="62"/>
      <c r="H886" s="304"/>
      <c r="I886" s="464"/>
      <c r="J886" s="303">
        <v>381</v>
      </c>
      <c r="K886" s="19" t="s">
        <v>407</v>
      </c>
      <c r="L886" s="112">
        <f t="shared" si="562"/>
        <v>0</v>
      </c>
      <c r="M886" s="112">
        <f t="shared" si="562"/>
        <v>0</v>
      </c>
      <c r="N886" s="113">
        <f t="shared" si="562"/>
        <v>66038</v>
      </c>
      <c r="O886" s="113">
        <f t="shared" si="562"/>
        <v>8764.7488220850755</v>
      </c>
      <c r="P886" s="114">
        <f t="shared" si="562"/>
        <v>3500</v>
      </c>
      <c r="Q886" s="114">
        <f t="shared" si="562"/>
        <v>3500</v>
      </c>
      <c r="R886" s="88">
        <f t="shared" si="562"/>
        <v>3238</v>
      </c>
      <c r="S886" s="90" t="e">
        <f t="shared" ca="1" si="562"/>
        <v>#NAME?</v>
      </c>
      <c r="T886" s="90"/>
      <c r="U886" s="90"/>
      <c r="V886" s="200">
        <f>V887</f>
        <v>3500</v>
      </c>
      <c r="W886" s="200">
        <f t="shared" si="562"/>
        <v>3500</v>
      </c>
      <c r="X886" s="88">
        <f t="shared" si="562"/>
        <v>4000</v>
      </c>
      <c r="Y886" s="171">
        <f t="shared" si="562"/>
        <v>5000</v>
      </c>
      <c r="Z886" s="171">
        <f t="shared" si="562"/>
        <v>0</v>
      </c>
      <c r="AA886" s="370" t="e">
        <f t="shared" ca="1" si="556"/>
        <v>#NAME?</v>
      </c>
      <c r="AB886" s="171"/>
      <c r="AC886" s="172">
        <f t="shared" si="562"/>
        <v>3500</v>
      </c>
      <c r="AD886" s="172">
        <f t="shared" si="562"/>
        <v>3500</v>
      </c>
      <c r="AE886" s="178"/>
      <c r="AF886" s="178"/>
      <c r="AG886" s="178"/>
      <c r="AH886" s="178"/>
      <c r="AI886" s="171"/>
      <c r="AJ886" s="171">
        <v>5000</v>
      </c>
      <c r="AK886" s="171">
        <f t="shared" si="548"/>
        <v>108.09141445336627</v>
      </c>
      <c r="AL886" s="171">
        <f t="shared" si="549"/>
        <v>114.28571428571428</v>
      </c>
      <c r="AM886" s="171">
        <f t="shared" si="549"/>
        <v>125</v>
      </c>
      <c r="AN886" s="90"/>
      <c r="AO886" s="193"/>
      <c r="AP886" s="193" t="e">
        <f t="shared" ca="1" si="555"/>
        <v>#NAME?</v>
      </c>
      <c r="AQ886" s="200">
        <f>AQ887</f>
        <v>1061.8</v>
      </c>
      <c r="AR886" s="204">
        <f t="shared" si="563"/>
        <v>108.09141445336627</v>
      </c>
      <c r="AS886" s="204">
        <f>W886/V886*100</f>
        <v>100</v>
      </c>
      <c r="AT886" s="204">
        <f t="shared" si="564"/>
        <v>108.09141445336627</v>
      </c>
      <c r="AU886" s="204">
        <f>AQ886/W886*100</f>
        <v>30.337142857142858</v>
      </c>
      <c r="AV886" s="204">
        <f t="shared" si="565"/>
        <v>32.791846819024087</v>
      </c>
    </row>
    <row r="887" spans="1:48" ht="12" customHeight="1">
      <c r="A887" s="53"/>
      <c r="B887" s="53"/>
      <c r="C887" s="53"/>
      <c r="D887" s="53"/>
      <c r="E887" s="53"/>
      <c r="F887" s="53"/>
      <c r="G887" s="53"/>
      <c r="H887" s="1"/>
      <c r="I887" s="397"/>
      <c r="J887" s="229">
        <v>3811</v>
      </c>
      <c r="K887" s="18" t="s">
        <v>286</v>
      </c>
      <c r="L887" s="112">
        <f t="shared" si="562"/>
        <v>0</v>
      </c>
      <c r="M887" s="112">
        <f t="shared" si="562"/>
        <v>0</v>
      </c>
      <c r="N887" s="113">
        <f t="shared" si="562"/>
        <v>66038</v>
      </c>
      <c r="O887" s="113">
        <f t="shared" si="562"/>
        <v>8764.7488220850755</v>
      </c>
      <c r="P887" s="114">
        <f t="shared" si="562"/>
        <v>3500</v>
      </c>
      <c r="Q887" s="114">
        <f t="shared" si="562"/>
        <v>3500</v>
      </c>
      <c r="R887" s="88">
        <f t="shared" si="562"/>
        <v>3238</v>
      </c>
      <c r="S887" s="90" t="e">
        <f t="shared" ca="1" si="562"/>
        <v>#NAME?</v>
      </c>
      <c r="T887" s="90"/>
      <c r="U887" s="90"/>
      <c r="V887" s="200">
        <f>V888</f>
        <v>3500</v>
      </c>
      <c r="W887" s="200">
        <f t="shared" si="562"/>
        <v>3500</v>
      </c>
      <c r="X887" s="88">
        <f t="shared" si="562"/>
        <v>4000</v>
      </c>
      <c r="Y887" s="171">
        <f t="shared" si="562"/>
        <v>5000</v>
      </c>
      <c r="Z887" s="171">
        <f t="shared" si="562"/>
        <v>0</v>
      </c>
      <c r="AA887" s="370" t="e">
        <f t="shared" ca="1" si="556"/>
        <v>#NAME?</v>
      </c>
      <c r="AB887" s="171"/>
      <c r="AC887" s="172">
        <f t="shared" si="562"/>
        <v>3500</v>
      </c>
      <c r="AD887" s="172">
        <f t="shared" si="562"/>
        <v>3500</v>
      </c>
      <c r="AE887" s="178"/>
      <c r="AF887" s="178"/>
      <c r="AG887" s="178"/>
      <c r="AH887" s="178"/>
      <c r="AI887" s="171"/>
      <c r="AJ887" s="171">
        <v>5000</v>
      </c>
      <c r="AK887" s="171">
        <f t="shared" si="548"/>
        <v>108.09141445336627</v>
      </c>
      <c r="AL887" s="171">
        <f t="shared" si="549"/>
        <v>114.28571428571428</v>
      </c>
      <c r="AM887" s="171">
        <f t="shared" si="549"/>
        <v>125</v>
      </c>
      <c r="AN887" s="90"/>
      <c r="AO887" s="193"/>
      <c r="AP887" s="193" t="e">
        <f t="shared" ca="1" si="555"/>
        <v>#NAME?</v>
      </c>
      <c r="AQ887" s="200">
        <f>AQ888</f>
        <v>1061.8</v>
      </c>
      <c r="AR887" s="204">
        <f t="shared" si="563"/>
        <v>108.09141445336627</v>
      </c>
      <c r="AS887" s="204">
        <f>W887/V887*100</f>
        <v>100</v>
      </c>
      <c r="AT887" s="204">
        <f t="shared" si="564"/>
        <v>108.09141445336627</v>
      </c>
      <c r="AU887" s="204">
        <f>AQ887/W887*100</f>
        <v>30.337142857142858</v>
      </c>
      <c r="AV887" s="204">
        <f t="shared" si="565"/>
        <v>32.791846819024087</v>
      </c>
    </row>
    <row r="888" spans="1:48" ht="12" customHeight="1">
      <c r="A888" s="53"/>
      <c r="B888" s="53"/>
      <c r="C888" s="53"/>
      <c r="D888" s="53"/>
      <c r="E888" s="53"/>
      <c r="F888" s="53"/>
      <c r="G888" s="53"/>
      <c r="H888" s="1" t="s">
        <v>718</v>
      </c>
      <c r="I888" s="397">
        <v>840</v>
      </c>
      <c r="J888" s="229">
        <v>3811</v>
      </c>
      <c r="K888" s="18" t="s">
        <v>719</v>
      </c>
      <c r="L888" s="130">
        <v>0</v>
      </c>
      <c r="M888" s="130">
        <v>0</v>
      </c>
      <c r="N888" s="131">
        <v>66038</v>
      </c>
      <c r="O888" s="131">
        <f>N888/7.5345</f>
        <v>8764.7488220850755</v>
      </c>
      <c r="P888" s="132">
        <v>3500</v>
      </c>
      <c r="Q888" s="132">
        <v>3500</v>
      </c>
      <c r="R888" s="159">
        <v>3238</v>
      </c>
      <c r="S888" s="165" t="e">
        <f ca="1">__xlfn.XLOOKUP(H888,[1]Izvršenje_proračuna_po_pozicija!$B$2:$B$153,[1]Izvršenje_proračuna_po_pozicija!$E$2:$E$153,0)</f>
        <v>#NAME?</v>
      </c>
      <c r="T888" s="165"/>
      <c r="U888" s="165"/>
      <c r="V888" s="200">
        <v>3500</v>
      </c>
      <c r="W888" s="200">
        <v>3500</v>
      </c>
      <c r="X888" s="164">
        <v>4000</v>
      </c>
      <c r="Y888" s="378">
        <v>5000</v>
      </c>
      <c r="Z888" s="378"/>
      <c r="AA888" s="370" t="e">
        <f t="shared" ca="1" si="556"/>
        <v>#NAME?</v>
      </c>
      <c r="AB888" s="183"/>
      <c r="AC888" s="178">
        <v>3500</v>
      </c>
      <c r="AD888" s="178">
        <v>3500</v>
      </c>
      <c r="AE888" s="178"/>
      <c r="AF888" s="178"/>
      <c r="AG888" s="178"/>
      <c r="AH888" s="178"/>
      <c r="AI888" s="183"/>
      <c r="AJ888" s="378">
        <v>5000</v>
      </c>
      <c r="AK888" s="171">
        <f t="shared" si="548"/>
        <v>108.09141445336627</v>
      </c>
      <c r="AL888" s="171">
        <f t="shared" si="549"/>
        <v>114.28571428571428</v>
      </c>
      <c r="AM888" s="171">
        <f t="shared" si="549"/>
        <v>125</v>
      </c>
      <c r="AN888" s="165"/>
      <c r="AO888" s="193"/>
      <c r="AP888" s="193" t="e">
        <f t="shared" ca="1" si="555"/>
        <v>#NAME?</v>
      </c>
      <c r="AQ888" s="200">
        <v>1061.8</v>
      </c>
      <c r="AR888" s="204">
        <f t="shared" si="563"/>
        <v>108.09141445336627</v>
      </c>
      <c r="AS888" s="204">
        <f>W888/V888*100</f>
        <v>100</v>
      </c>
      <c r="AT888" s="204">
        <f t="shared" si="564"/>
        <v>108.09141445336627</v>
      </c>
      <c r="AU888" s="204">
        <f>AQ888/W888*100</f>
        <v>30.337142857142858</v>
      </c>
      <c r="AV888" s="204">
        <f t="shared" si="565"/>
        <v>32.791846819024087</v>
      </c>
    </row>
    <row r="889" spans="1:48" ht="12" customHeight="1">
      <c r="A889" s="53"/>
      <c r="B889" s="53"/>
      <c r="C889" s="53"/>
      <c r="D889" s="53"/>
      <c r="E889" s="53"/>
      <c r="F889" s="53"/>
      <c r="G889" s="53"/>
      <c r="H889" s="1"/>
      <c r="I889" s="397"/>
      <c r="J889" s="229"/>
      <c r="K889" s="18"/>
      <c r="L889" s="130"/>
      <c r="M889" s="130"/>
      <c r="N889" s="131"/>
      <c r="O889" s="131"/>
      <c r="P889" s="132"/>
      <c r="Q889" s="132"/>
      <c r="R889" s="159"/>
      <c r="S889" s="165" t="e">
        <f ca="1">__xlfn.XLOOKUP(H889,[1]Izvršenje_proračuna_po_pozicija!$B$2:$B$153,[1]Izvršenje_proračuna_po_pozicija!$E$2:$E$153,0)</f>
        <v>#NAME?</v>
      </c>
      <c r="T889" s="165"/>
      <c r="U889" s="165"/>
      <c r="V889" s="200"/>
      <c r="W889" s="200"/>
      <c r="X889" s="164"/>
      <c r="Y889" s="378"/>
      <c r="Z889" s="378"/>
      <c r="AA889" s="370" t="e">
        <f t="shared" ca="1" si="556"/>
        <v>#NAME?</v>
      </c>
      <c r="AB889" s="183"/>
      <c r="AC889" s="178"/>
      <c r="AD889" s="178"/>
      <c r="AE889" s="178"/>
      <c r="AF889" s="178"/>
      <c r="AG889" s="178"/>
      <c r="AH889" s="178"/>
      <c r="AI889" s="183"/>
      <c r="AJ889" s="378"/>
      <c r="AK889" s="171"/>
      <c r="AL889" s="171"/>
      <c r="AM889" s="171"/>
      <c r="AN889" s="165"/>
      <c r="AO889" s="193"/>
      <c r="AP889" s="193" t="e">
        <f t="shared" ca="1" si="555"/>
        <v>#NAME?</v>
      </c>
      <c r="AQ889" s="200"/>
      <c r="AR889" s="204"/>
      <c r="AS889" s="204"/>
      <c r="AT889" s="204"/>
      <c r="AU889" s="204"/>
      <c r="AV889" s="204"/>
    </row>
    <row r="890" spans="1:48" ht="12" customHeight="1">
      <c r="A890" s="390" t="s">
        <v>578</v>
      </c>
      <c r="B890" s="391"/>
      <c r="C890" s="391"/>
      <c r="D890" s="391"/>
      <c r="E890" s="391"/>
      <c r="F890" s="391"/>
      <c r="G890" s="391"/>
      <c r="H890" s="392"/>
      <c r="I890" s="485" t="s">
        <v>720</v>
      </c>
      <c r="J890" s="486"/>
      <c r="K890" s="300"/>
      <c r="L890" s="112">
        <f t="shared" ref="L890:S890" si="566">L892</f>
        <v>108000</v>
      </c>
      <c r="M890" s="112">
        <f t="shared" si="566"/>
        <v>14334.063308779612</v>
      </c>
      <c r="N890" s="113">
        <f t="shared" si="566"/>
        <v>102641</v>
      </c>
      <c r="O890" s="113">
        <f t="shared" si="566"/>
        <v>13622.801778485633</v>
      </c>
      <c r="P890" s="114">
        <f t="shared" si="566"/>
        <v>14000</v>
      </c>
      <c r="Q890" s="114">
        <f t="shared" si="566"/>
        <v>14000</v>
      </c>
      <c r="R890" s="88">
        <f t="shared" si="566"/>
        <v>12000</v>
      </c>
      <c r="S890" s="90" t="e">
        <f t="shared" ca="1" si="566"/>
        <v>#NAME?</v>
      </c>
      <c r="T890" s="90"/>
      <c r="U890" s="90"/>
      <c r="V890" s="200">
        <f>V892</f>
        <v>15400</v>
      </c>
      <c r="W890" s="200">
        <f>W892</f>
        <v>15529</v>
      </c>
      <c r="X890" s="88">
        <f>X892</f>
        <v>18000</v>
      </c>
      <c r="Y890" s="171">
        <f>Y892</f>
        <v>20000</v>
      </c>
      <c r="Z890" s="171">
        <f>Z892</f>
        <v>0</v>
      </c>
      <c r="AA890" s="370" t="e">
        <f t="shared" ca="1" si="556"/>
        <v>#NAME?</v>
      </c>
      <c r="AB890" s="171"/>
      <c r="AC890" s="172">
        <f>AC892</f>
        <v>14000</v>
      </c>
      <c r="AD890" s="172">
        <f>AD892</f>
        <v>14000</v>
      </c>
      <c r="AE890" s="178">
        <f>O890/M890*100</f>
        <v>95.037962962962979</v>
      </c>
      <c r="AF890" s="178">
        <f>P890/O890*100</f>
        <v>102.76887403669099</v>
      </c>
      <c r="AG890" s="178">
        <f>Q890/P890*100</f>
        <v>100</v>
      </c>
      <c r="AH890" s="178">
        <f>AC890/Q890*100</f>
        <v>100</v>
      </c>
      <c r="AI890" s="171"/>
      <c r="AJ890" s="171">
        <v>20000</v>
      </c>
      <c r="AK890" s="171">
        <f t="shared" si="548"/>
        <v>129.40833333333333</v>
      </c>
      <c r="AL890" s="171">
        <f t="shared" si="549"/>
        <v>115.91216433769078</v>
      </c>
      <c r="AM890" s="171">
        <f t="shared" si="549"/>
        <v>111.11111111111111</v>
      </c>
      <c r="AN890" s="90"/>
      <c r="AO890" s="193"/>
      <c r="AP890" s="193" t="e">
        <f t="shared" ca="1" si="555"/>
        <v>#NAME?</v>
      </c>
      <c r="AQ890" s="200">
        <f>AQ892</f>
        <v>15529</v>
      </c>
      <c r="AR890" s="204">
        <f t="shared" si="563"/>
        <v>128.33333333333334</v>
      </c>
      <c r="AS890" s="204">
        <f t="shared" ref="AS890:AS895" si="567">W890/V890*100</f>
        <v>100.83766233766234</v>
      </c>
      <c r="AT890" s="204">
        <f t="shared" si="564"/>
        <v>129.40833333333333</v>
      </c>
      <c r="AU890" s="204">
        <f>AQ890/W890*100</f>
        <v>100</v>
      </c>
      <c r="AV890" s="204">
        <f t="shared" si="565"/>
        <v>129.40833333333333</v>
      </c>
    </row>
    <row r="891" spans="1:48" ht="12" customHeight="1">
      <c r="A891" s="42"/>
      <c r="B891" s="42"/>
      <c r="C891" s="42"/>
      <c r="D891" s="42"/>
      <c r="E891" s="42"/>
      <c r="F891" s="42"/>
      <c r="G891" s="42"/>
      <c r="H891" s="308"/>
      <c r="I891" s="14"/>
      <c r="J891" s="2"/>
      <c r="K891" s="84"/>
      <c r="L891" s="85">
        <v>1</v>
      </c>
      <c r="M891" s="85">
        <v>2</v>
      </c>
      <c r="N891" s="86">
        <v>3</v>
      </c>
      <c r="O891" s="86">
        <v>4</v>
      </c>
      <c r="P891" s="87">
        <v>5</v>
      </c>
      <c r="Q891" s="87">
        <v>6</v>
      </c>
      <c r="R891" s="160"/>
      <c r="S891" s="165" t="e">
        <f ca="1">__xlfn.XLOOKUP(H891,[1]Izvršenje_proračuna_po_pozicija!$B$2:$B$153,[1]Izvršenje_proračuna_po_pozicija!$E$2:$E$153,0)</f>
        <v>#NAME?</v>
      </c>
      <c r="T891" s="165"/>
      <c r="U891" s="165"/>
      <c r="V891" s="200"/>
      <c r="W891" s="200"/>
      <c r="X891" s="361"/>
      <c r="Y891" s="373"/>
      <c r="Z891" s="373"/>
      <c r="AA891" s="370" t="e">
        <f t="shared" ca="1" si="556"/>
        <v>#NAME?</v>
      </c>
      <c r="AB891" s="181"/>
      <c r="AC891" s="182">
        <v>7</v>
      </c>
      <c r="AD891" s="182">
        <v>8</v>
      </c>
      <c r="AE891" s="182">
        <v>9</v>
      </c>
      <c r="AF891" s="182">
        <v>10</v>
      </c>
      <c r="AG891" s="182">
        <v>11</v>
      </c>
      <c r="AH891" s="182">
        <v>12</v>
      </c>
      <c r="AI891" s="181"/>
      <c r="AJ891" s="373"/>
      <c r="AK891" s="171"/>
      <c r="AL891" s="171"/>
      <c r="AM891" s="171"/>
      <c r="AN891" s="161"/>
      <c r="AO891" s="193"/>
      <c r="AP891" s="193" t="e">
        <f t="shared" ca="1" si="555"/>
        <v>#NAME?</v>
      </c>
      <c r="AQ891" s="200"/>
      <c r="AR891" s="204"/>
      <c r="AS891" s="204" t="e">
        <f t="shared" si="567"/>
        <v>#DIV/0!</v>
      </c>
      <c r="AT891" s="204"/>
      <c r="AU891" s="204"/>
      <c r="AV891" s="204"/>
    </row>
    <row r="892" spans="1:48" ht="12" customHeight="1">
      <c r="A892" s="24"/>
      <c r="B892" s="24"/>
      <c r="C892" s="24"/>
      <c r="D892" s="24"/>
      <c r="E892" s="24"/>
      <c r="F892" s="24"/>
      <c r="G892" s="24"/>
      <c r="H892" s="393"/>
      <c r="I892" s="465"/>
      <c r="J892" s="281">
        <v>3</v>
      </c>
      <c r="K892" s="2" t="s">
        <v>224</v>
      </c>
      <c r="L892" s="112">
        <f t="shared" ref="L892:AD894" si="568">L893</f>
        <v>108000</v>
      </c>
      <c r="M892" s="112">
        <f t="shared" si="568"/>
        <v>14334.063308779612</v>
      </c>
      <c r="N892" s="113">
        <f t="shared" si="568"/>
        <v>102641</v>
      </c>
      <c r="O892" s="113">
        <f t="shared" si="568"/>
        <v>13622.801778485633</v>
      </c>
      <c r="P892" s="114">
        <f t="shared" si="568"/>
        <v>14000</v>
      </c>
      <c r="Q892" s="114">
        <f t="shared" si="568"/>
        <v>14000</v>
      </c>
      <c r="R892" s="88">
        <f t="shared" si="568"/>
        <v>12000</v>
      </c>
      <c r="S892" s="90" t="e">
        <f t="shared" ca="1" si="568"/>
        <v>#NAME?</v>
      </c>
      <c r="T892" s="90"/>
      <c r="U892" s="90"/>
      <c r="V892" s="200">
        <f>V893</f>
        <v>15400</v>
      </c>
      <c r="W892" s="200">
        <f t="shared" si="568"/>
        <v>15529</v>
      </c>
      <c r="X892" s="88">
        <f t="shared" si="568"/>
        <v>18000</v>
      </c>
      <c r="Y892" s="171">
        <f t="shared" si="568"/>
        <v>20000</v>
      </c>
      <c r="Z892" s="171">
        <f t="shared" si="568"/>
        <v>0</v>
      </c>
      <c r="AA892" s="370" t="e">
        <f t="shared" ca="1" si="556"/>
        <v>#NAME?</v>
      </c>
      <c r="AB892" s="171"/>
      <c r="AC892" s="172">
        <f t="shared" si="568"/>
        <v>14000</v>
      </c>
      <c r="AD892" s="172">
        <f t="shared" si="568"/>
        <v>14000</v>
      </c>
      <c r="AE892" s="178">
        <f t="shared" ref="AE892:AE899" si="569">O892/M892*100</f>
        <v>95.037962962962979</v>
      </c>
      <c r="AF892" s="178">
        <f t="shared" ref="AF892:AG895" si="570">P892/O892*100</f>
        <v>102.76887403669099</v>
      </c>
      <c r="AG892" s="178">
        <f t="shared" si="570"/>
        <v>100</v>
      </c>
      <c r="AH892" s="178">
        <f>AC892/Q892*100</f>
        <v>100</v>
      </c>
      <c r="AI892" s="171"/>
      <c r="AJ892" s="171">
        <v>20000</v>
      </c>
      <c r="AK892" s="171">
        <f t="shared" si="548"/>
        <v>129.40833333333333</v>
      </c>
      <c r="AL892" s="171">
        <f t="shared" si="549"/>
        <v>115.91216433769078</v>
      </c>
      <c r="AM892" s="171">
        <f t="shared" si="549"/>
        <v>111.11111111111111</v>
      </c>
      <c r="AN892" s="90"/>
      <c r="AO892" s="193"/>
      <c r="AP892" s="193" t="e">
        <f t="shared" ca="1" si="555"/>
        <v>#NAME?</v>
      </c>
      <c r="AQ892" s="200">
        <f>AQ893</f>
        <v>15529</v>
      </c>
      <c r="AR892" s="204">
        <f t="shared" si="563"/>
        <v>128.33333333333334</v>
      </c>
      <c r="AS892" s="204">
        <f t="shared" si="567"/>
        <v>100.83766233766234</v>
      </c>
      <c r="AT892" s="204">
        <f t="shared" si="564"/>
        <v>129.40833333333333</v>
      </c>
      <c r="AU892" s="204">
        <f>AQ892/W892*100</f>
        <v>100</v>
      </c>
      <c r="AV892" s="204">
        <f t="shared" si="565"/>
        <v>129.40833333333333</v>
      </c>
    </row>
    <row r="893" spans="1:48" ht="12" customHeight="1">
      <c r="A893" s="301"/>
      <c r="B893" s="301"/>
      <c r="C893" s="301"/>
      <c r="D893" s="301"/>
      <c r="E893" s="301"/>
      <c r="F893" s="301"/>
      <c r="G893" s="301"/>
      <c r="H893" s="307"/>
      <c r="I893" s="350"/>
      <c r="J893" s="302">
        <v>38</v>
      </c>
      <c r="K893" s="343" t="s">
        <v>285</v>
      </c>
      <c r="L893" s="112">
        <f t="shared" si="568"/>
        <v>108000</v>
      </c>
      <c r="M893" s="112">
        <f t="shared" si="568"/>
        <v>14334.063308779612</v>
      </c>
      <c r="N893" s="113">
        <f t="shared" si="568"/>
        <v>102641</v>
      </c>
      <c r="O893" s="113">
        <f t="shared" si="568"/>
        <v>13622.801778485633</v>
      </c>
      <c r="P893" s="114">
        <f t="shared" si="568"/>
        <v>14000</v>
      </c>
      <c r="Q893" s="114">
        <f t="shared" si="568"/>
        <v>14000</v>
      </c>
      <c r="R893" s="88">
        <f t="shared" si="568"/>
        <v>12000</v>
      </c>
      <c r="S893" s="90" t="e">
        <f t="shared" ca="1" si="568"/>
        <v>#NAME?</v>
      </c>
      <c r="T893" s="90"/>
      <c r="U893" s="90"/>
      <c r="V893" s="200">
        <f>V894</f>
        <v>15400</v>
      </c>
      <c r="W893" s="200">
        <f t="shared" si="568"/>
        <v>15529</v>
      </c>
      <c r="X893" s="88">
        <f t="shared" si="568"/>
        <v>18000</v>
      </c>
      <c r="Y893" s="171">
        <f t="shared" si="568"/>
        <v>20000</v>
      </c>
      <c r="Z893" s="171">
        <f t="shared" si="568"/>
        <v>0</v>
      </c>
      <c r="AA893" s="370" t="e">
        <f t="shared" ca="1" si="556"/>
        <v>#NAME?</v>
      </c>
      <c r="AB893" s="171"/>
      <c r="AC893" s="172">
        <f t="shared" si="568"/>
        <v>14000</v>
      </c>
      <c r="AD893" s="172">
        <f t="shared" si="568"/>
        <v>14000</v>
      </c>
      <c r="AE893" s="178">
        <f t="shared" si="569"/>
        <v>95.037962962962979</v>
      </c>
      <c r="AF893" s="178">
        <f t="shared" si="570"/>
        <v>102.76887403669099</v>
      </c>
      <c r="AG893" s="178">
        <f t="shared" si="570"/>
        <v>100</v>
      </c>
      <c r="AH893" s="178">
        <f>AC893/Q893*100</f>
        <v>100</v>
      </c>
      <c r="AI893" s="171"/>
      <c r="AJ893" s="171">
        <v>20000</v>
      </c>
      <c r="AK893" s="171">
        <f t="shared" si="548"/>
        <v>129.40833333333333</v>
      </c>
      <c r="AL893" s="171">
        <f t="shared" si="549"/>
        <v>115.91216433769078</v>
      </c>
      <c r="AM893" s="171">
        <f t="shared" si="549"/>
        <v>111.11111111111111</v>
      </c>
      <c r="AN893" s="90"/>
      <c r="AO893" s="193"/>
      <c r="AP893" s="193" t="e">
        <f t="shared" ca="1" si="555"/>
        <v>#NAME?</v>
      </c>
      <c r="AQ893" s="200">
        <f>AQ894</f>
        <v>15529</v>
      </c>
      <c r="AR893" s="204">
        <f t="shared" si="563"/>
        <v>128.33333333333334</v>
      </c>
      <c r="AS893" s="204">
        <f t="shared" si="567"/>
        <v>100.83766233766234</v>
      </c>
      <c r="AT893" s="204">
        <f t="shared" si="564"/>
        <v>129.40833333333333</v>
      </c>
      <c r="AU893" s="204">
        <f>AQ893/W893*100</f>
        <v>100</v>
      </c>
      <c r="AV893" s="204">
        <f t="shared" si="565"/>
        <v>129.40833333333333</v>
      </c>
    </row>
    <row r="894" spans="1:48" ht="12" customHeight="1">
      <c r="A894" s="62"/>
      <c r="B894" s="62"/>
      <c r="C894" s="62"/>
      <c r="D894" s="62"/>
      <c r="E894" s="62"/>
      <c r="F894" s="62"/>
      <c r="G894" s="62"/>
      <c r="H894" s="304"/>
      <c r="I894" s="464"/>
      <c r="J894" s="303">
        <v>381</v>
      </c>
      <c r="K894" s="19" t="s">
        <v>407</v>
      </c>
      <c r="L894" s="112">
        <f t="shared" si="568"/>
        <v>108000</v>
      </c>
      <c r="M894" s="112">
        <f t="shared" si="568"/>
        <v>14334.063308779612</v>
      </c>
      <c r="N894" s="113">
        <f t="shared" si="568"/>
        <v>102641</v>
      </c>
      <c r="O894" s="113">
        <f t="shared" si="568"/>
        <v>13622.801778485633</v>
      </c>
      <c r="P894" s="114">
        <f t="shared" si="568"/>
        <v>14000</v>
      </c>
      <c r="Q894" s="114">
        <f t="shared" si="568"/>
        <v>14000</v>
      </c>
      <c r="R894" s="88">
        <f t="shared" si="568"/>
        <v>12000</v>
      </c>
      <c r="S894" s="90" t="e">
        <f t="shared" ca="1" si="568"/>
        <v>#NAME?</v>
      </c>
      <c r="T894" s="90"/>
      <c r="U894" s="90"/>
      <c r="V894" s="200">
        <f>V895</f>
        <v>15400</v>
      </c>
      <c r="W894" s="200">
        <f t="shared" si="568"/>
        <v>15529</v>
      </c>
      <c r="X894" s="88">
        <f t="shared" si="568"/>
        <v>18000</v>
      </c>
      <c r="Y894" s="171">
        <f t="shared" si="568"/>
        <v>20000</v>
      </c>
      <c r="Z894" s="171">
        <f t="shared" si="568"/>
        <v>0</v>
      </c>
      <c r="AA894" s="370" t="e">
        <f t="shared" ca="1" si="556"/>
        <v>#NAME?</v>
      </c>
      <c r="AB894" s="171"/>
      <c r="AC894" s="172">
        <f>AC895</f>
        <v>14000</v>
      </c>
      <c r="AD894" s="172">
        <f>AD895</f>
        <v>14000</v>
      </c>
      <c r="AE894" s="178">
        <f t="shared" si="569"/>
        <v>95.037962962962979</v>
      </c>
      <c r="AF894" s="178">
        <f t="shared" si="570"/>
        <v>102.76887403669099</v>
      </c>
      <c r="AG894" s="178">
        <f t="shared" si="570"/>
        <v>100</v>
      </c>
      <c r="AH894" s="178">
        <f>AC894/Q894*100</f>
        <v>100</v>
      </c>
      <c r="AI894" s="171"/>
      <c r="AJ894" s="171">
        <v>20000</v>
      </c>
      <c r="AK894" s="171">
        <f t="shared" si="548"/>
        <v>129.40833333333333</v>
      </c>
      <c r="AL894" s="171">
        <f t="shared" si="549"/>
        <v>115.91216433769078</v>
      </c>
      <c r="AM894" s="171">
        <f t="shared" si="549"/>
        <v>111.11111111111111</v>
      </c>
      <c r="AN894" s="90"/>
      <c r="AO894" s="193"/>
      <c r="AP894" s="193" t="e">
        <f t="shared" ca="1" si="555"/>
        <v>#NAME?</v>
      </c>
      <c r="AQ894" s="200">
        <f>AQ895</f>
        <v>15529</v>
      </c>
      <c r="AR894" s="204">
        <f t="shared" si="563"/>
        <v>128.33333333333334</v>
      </c>
      <c r="AS894" s="204">
        <f t="shared" si="567"/>
        <v>100.83766233766234</v>
      </c>
      <c r="AT894" s="204">
        <f t="shared" si="564"/>
        <v>129.40833333333333</v>
      </c>
      <c r="AU894" s="204">
        <f>AQ894/W894*100</f>
        <v>100</v>
      </c>
      <c r="AV894" s="204">
        <f t="shared" si="565"/>
        <v>129.40833333333333</v>
      </c>
    </row>
    <row r="895" spans="1:48" ht="12" customHeight="1">
      <c r="A895" s="53"/>
      <c r="B895" s="53"/>
      <c r="C895" s="53"/>
      <c r="D895" s="53"/>
      <c r="E895" s="53"/>
      <c r="F895" s="53"/>
      <c r="G895" s="53"/>
      <c r="H895" s="1"/>
      <c r="I895" s="397"/>
      <c r="J895" s="229">
        <v>3811</v>
      </c>
      <c r="K895" s="18" t="s">
        <v>286</v>
      </c>
      <c r="L895" s="112">
        <v>108000</v>
      </c>
      <c r="M895" s="112">
        <f>108000/7.5345</f>
        <v>14334.063308779612</v>
      </c>
      <c r="N895" s="113">
        <v>102641</v>
      </c>
      <c r="O895" s="113">
        <f>N895/7.5345</f>
        <v>13622.801778485633</v>
      </c>
      <c r="P895" s="114">
        <v>14000</v>
      </c>
      <c r="Q895" s="114">
        <v>14000</v>
      </c>
      <c r="R895" s="88">
        <f t="shared" ref="R895:Z895" si="571">SUM(R896:R903)</f>
        <v>12000</v>
      </c>
      <c r="S895" s="90" t="e">
        <f t="shared" ca="1" si="571"/>
        <v>#NAME?</v>
      </c>
      <c r="T895" s="90"/>
      <c r="U895" s="90"/>
      <c r="V895" s="200">
        <f t="shared" si="571"/>
        <v>15400</v>
      </c>
      <c r="W895" s="200">
        <f t="shared" si="571"/>
        <v>15529</v>
      </c>
      <c r="X895" s="88">
        <f t="shared" si="571"/>
        <v>18000</v>
      </c>
      <c r="Y895" s="171">
        <f t="shared" si="571"/>
        <v>20000</v>
      </c>
      <c r="Z895" s="171">
        <f t="shared" si="571"/>
        <v>0</v>
      </c>
      <c r="AA895" s="370" t="e">
        <f t="shared" ca="1" si="556"/>
        <v>#NAME?</v>
      </c>
      <c r="AB895" s="171"/>
      <c r="AC895" s="172">
        <v>14000</v>
      </c>
      <c r="AD895" s="172">
        <v>14000</v>
      </c>
      <c r="AE895" s="178">
        <f t="shared" si="569"/>
        <v>95.037962962962979</v>
      </c>
      <c r="AF895" s="178">
        <f t="shared" si="570"/>
        <v>102.76887403669099</v>
      </c>
      <c r="AG895" s="178">
        <f t="shared" si="570"/>
        <v>100</v>
      </c>
      <c r="AH895" s="178">
        <f>AC895/Q895*100</f>
        <v>100</v>
      </c>
      <c r="AI895" s="171"/>
      <c r="AJ895" s="171">
        <v>20000</v>
      </c>
      <c r="AK895" s="171">
        <f t="shared" si="548"/>
        <v>129.40833333333333</v>
      </c>
      <c r="AL895" s="171">
        <f t="shared" si="549"/>
        <v>115.91216433769078</v>
      </c>
      <c r="AM895" s="171">
        <f t="shared" si="549"/>
        <v>111.11111111111111</v>
      </c>
      <c r="AN895" s="90"/>
      <c r="AO895" s="193"/>
      <c r="AP895" s="193" t="e">
        <f t="shared" ca="1" si="555"/>
        <v>#NAME?</v>
      </c>
      <c r="AQ895" s="200">
        <f>SUM(AQ896:AQ903)</f>
        <v>15529</v>
      </c>
      <c r="AR895" s="204">
        <f t="shared" si="563"/>
        <v>128.33333333333334</v>
      </c>
      <c r="AS895" s="204">
        <f t="shared" si="567"/>
        <v>100.83766233766234</v>
      </c>
      <c r="AT895" s="204">
        <f t="shared" si="564"/>
        <v>129.40833333333333</v>
      </c>
      <c r="AU895" s="204">
        <f>AQ895/W895*100</f>
        <v>100</v>
      </c>
      <c r="AV895" s="204">
        <f t="shared" si="565"/>
        <v>129.40833333333333</v>
      </c>
    </row>
    <row r="896" spans="1:48" ht="12" customHeight="1">
      <c r="A896" s="53"/>
      <c r="B896" s="53"/>
      <c r="C896" s="53"/>
      <c r="D896" s="53"/>
      <c r="E896" s="53"/>
      <c r="F896" s="53"/>
      <c r="G896" s="53"/>
      <c r="H896" s="1">
        <v>142</v>
      </c>
      <c r="I896" s="397">
        <v>860</v>
      </c>
      <c r="J896" s="229">
        <v>3811</v>
      </c>
      <c r="K896" s="18" t="s">
        <v>721</v>
      </c>
      <c r="L896" s="130">
        <v>8000</v>
      </c>
      <c r="M896" s="130">
        <f>8000/7.5345</f>
        <v>1061.7824673170085</v>
      </c>
      <c r="N896" s="131"/>
      <c r="O896" s="131"/>
      <c r="P896" s="132"/>
      <c r="Q896" s="132"/>
      <c r="R896" s="159">
        <v>2200</v>
      </c>
      <c r="S896" s="165" t="e">
        <f ca="1">__xlfn.XLOOKUP(H896,[1]Izvršenje_proračuna_po_pozicija!$B$2:$B$153,[1]Izvršenje_proračuna_po_pozicija!$E$2:$E$153,0)</f>
        <v>#NAME?</v>
      </c>
      <c r="T896" s="165"/>
      <c r="U896" s="165"/>
      <c r="V896" s="200"/>
      <c r="W896" s="200"/>
      <c r="X896" s="164"/>
      <c r="Y896" s="378"/>
      <c r="Z896" s="378"/>
      <c r="AA896" s="370" t="e">
        <f t="shared" ca="1" si="556"/>
        <v>#NAME?</v>
      </c>
      <c r="AB896" s="183"/>
      <c r="AC896" s="178"/>
      <c r="AD896" s="178"/>
      <c r="AE896" s="178">
        <f t="shared" si="569"/>
        <v>0</v>
      </c>
      <c r="AF896" s="178"/>
      <c r="AG896" s="178"/>
      <c r="AH896" s="178"/>
      <c r="AI896" s="183"/>
      <c r="AJ896" s="378"/>
      <c r="AK896" s="171">
        <f t="shared" si="548"/>
        <v>0</v>
      </c>
      <c r="AL896" s="171"/>
      <c r="AM896" s="171"/>
      <c r="AN896" s="165"/>
      <c r="AO896" s="193"/>
      <c r="AP896" s="193" t="e">
        <f t="shared" ca="1" si="555"/>
        <v>#NAME?</v>
      </c>
      <c r="AQ896" s="200"/>
      <c r="AR896" s="204">
        <f t="shared" si="563"/>
        <v>0</v>
      </c>
      <c r="AS896" s="204"/>
      <c r="AT896" s="204">
        <f t="shared" si="564"/>
        <v>0</v>
      </c>
      <c r="AU896" s="204"/>
      <c r="AV896" s="204">
        <f t="shared" si="565"/>
        <v>0</v>
      </c>
    </row>
    <row r="897" spans="1:48" ht="12" customHeight="1">
      <c r="A897" s="53"/>
      <c r="B897" s="53"/>
      <c r="C897" s="53"/>
      <c r="D897" s="53"/>
      <c r="E897" s="53"/>
      <c r="F897" s="53"/>
      <c r="G897" s="53"/>
      <c r="H897" s="1" t="s">
        <v>722</v>
      </c>
      <c r="I897" s="397">
        <v>860</v>
      </c>
      <c r="J897" s="229">
        <v>3811</v>
      </c>
      <c r="K897" s="18" t="s">
        <v>723</v>
      </c>
      <c r="L897" s="130">
        <v>10000</v>
      </c>
      <c r="M897" s="130">
        <f>10000/7.5345</f>
        <v>1327.2280841462605</v>
      </c>
      <c r="N897" s="131"/>
      <c r="O897" s="131"/>
      <c r="P897" s="132"/>
      <c r="Q897" s="132"/>
      <c r="R897" s="159">
        <v>800</v>
      </c>
      <c r="S897" s="165" t="e">
        <f ca="1">__xlfn.XLOOKUP(H897,[1]Izvršenje_proračuna_po_pozicija!$B$2:$B$153,[1]Izvršenje_proračuna_po_pozicija!$E$2:$E$153,0)</f>
        <v>#NAME?</v>
      </c>
      <c r="T897" s="165"/>
      <c r="U897" s="165"/>
      <c r="V897" s="200"/>
      <c r="W897" s="200"/>
      <c r="X897" s="164"/>
      <c r="Y897" s="378"/>
      <c r="Z897" s="378"/>
      <c r="AA897" s="370" t="e">
        <f t="shared" ca="1" si="556"/>
        <v>#NAME?</v>
      </c>
      <c r="AB897" s="183"/>
      <c r="AC897" s="178"/>
      <c r="AD897" s="178"/>
      <c r="AE897" s="178">
        <f t="shared" si="569"/>
        <v>0</v>
      </c>
      <c r="AF897" s="178"/>
      <c r="AG897" s="178"/>
      <c r="AH897" s="178"/>
      <c r="AI897" s="183"/>
      <c r="AJ897" s="378"/>
      <c r="AK897" s="171">
        <f t="shared" si="548"/>
        <v>0</v>
      </c>
      <c r="AL897" s="171"/>
      <c r="AM897" s="171"/>
      <c r="AN897" s="165"/>
      <c r="AO897" s="193"/>
      <c r="AP897" s="193" t="e">
        <f t="shared" ca="1" si="555"/>
        <v>#NAME?</v>
      </c>
      <c r="AQ897" s="200"/>
      <c r="AR897" s="204">
        <f t="shared" si="563"/>
        <v>0</v>
      </c>
      <c r="AS897" s="204"/>
      <c r="AT897" s="204">
        <f t="shared" si="564"/>
        <v>0</v>
      </c>
      <c r="AU897" s="204"/>
      <c r="AV897" s="204">
        <f t="shared" si="565"/>
        <v>0</v>
      </c>
    </row>
    <row r="898" spans="1:48" ht="12" customHeight="1">
      <c r="A898" s="53"/>
      <c r="B898" s="53"/>
      <c r="C898" s="53"/>
      <c r="D898" s="53"/>
      <c r="E898" s="53"/>
      <c r="F898" s="53"/>
      <c r="G898" s="53"/>
      <c r="H898" s="1" t="s">
        <v>724</v>
      </c>
      <c r="I898" s="397">
        <v>860</v>
      </c>
      <c r="J898" s="229">
        <v>3811</v>
      </c>
      <c r="K898" s="18" t="s">
        <v>725</v>
      </c>
      <c r="L898" s="130">
        <v>17000</v>
      </c>
      <c r="M898" s="130">
        <f>17000/7.5345</f>
        <v>2256.2877430486428</v>
      </c>
      <c r="N898" s="131"/>
      <c r="O898" s="131"/>
      <c r="P898" s="132"/>
      <c r="Q898" s="132"/>
      <c r="R898" s="159">
        <v>3200</v>
      </c>
      <c r="S898" s="165" t="e">
        <f ca="1">__xlfn.XLOOKUP(H898,[1]Izvršenje_proračuna_po_pozicija!$B$2:$B$153,[1]Izvršenje_proračuna_po_pozicija!$E$2:$E$153,0)</f>
        <v>#NAME?</v>
      </c>
      <c r="T898" s="165"/>
      <c r="U898" s="165"/>
      <c r="V898" s="200"/>
      <c r="W898" s="200"/>
      <c r="X898" s="164"/>
      <c r="Y898" s="378"/>
      <c r="Z898" s="378"/>
      <c r="AA898" s="370" t="e">
        <f t="shared" ca="1" si="556"/>
        <v>#NAME?</v>
      </c>
      <c r="AB898" s="183"/>
      <c r="AC898" s="178"/>
      <c r="AD898" s="178"/>
      <c r="AE898" s="178">
        <f t="shared" si="569"/>
        <v>0</v>
      </c>
      <c r="AF898" s="178"/>
      <c r="AG898" s="178"/>
      <c r="AH898" s="178"/>
      <c r="AI898" s="183"/>
      <c r="AJ898" s="378"/>
      <c r="AK898" s="171">
        <f t="shared" si="548"/>
        <v>0</v>
      </c>
      <c r="AL898" s="171"/>
      <c r="AM898" s="171"/>
      <c r="AN898" s="165"/>
      <c r="AO898" s="193"/>
      <c r="AP898" s="193" t="e">
        <f t="shared" ca="1" si="555"/>
        <v>#NAME?</v>
      </c>
      <c r="AQ898" s="200"/>
      <c r="AR898" s="204">
        <f t="shared" si="563"/>
        <v>0</v>
      </c>
      <c r="AS898" s="204"/>
      <c r="AT898" s="204">
        <f t="shared" si="564"/>
        <v>0</v>
      </c>
      <c r="AU898" s="204"/>
      <c r="AV898" s="204">
        <f t="shared" si="565"/>
        <v>0</v>
      </c>
    </row>
    <row r="899" spans="1:48" ht="12" customHeight="1">
      <c r="A899" s="209"/>
      <c r="B899" s="209"/>
      <c r="C899" s="209"/>
      <c r="D899" s="209"/>
      <c r="E899" s="209"/>
      <c r="F899" s="209"/>
      <c r="G899" s="209"/>
      <c r="H899" s="1" t="s">
        <v>726</v>
      </c>
      <c r="I899" s="397">
        <v>860</v>
      </c>
      <c r="J899" s="229">
        <v>3811</v>
      </c>
      <c r="K899" s="229" t="s">
        <v>727</v>
      </c>
      <c r="L899" s="130">
        <v>25000</v>
      </c>
      <c r="M899" s="130">
        <f>25000/7.5345</f>
        <v>3318.0702103656513</v>
      </c>
      <c r="N899" s="131"/>
      <c r="O899" s="131"/>
      <c r="P899" s="132"/>
      <c r="Q899" s="132"/>
      <c r="R899" s="159">
        <v>3000</v>
      </c>
      <c r="S899" s="165" t="e">
        <f ca="1">__xlfn.XLOOKUP(H899,[1]Izvršenje_proračuna_po_pozicija!$B$2:$B$153,[1]Izvršenje_proračuna_po_pozicija!$E$2:$E$153,0)</f>
        <v>#NAME?</v>
      </c>
      <c r="T899" s="165"/>
      <c r="U899" s="165"/>
      <c r="V899" s="200"/>
      <c r="W899" s="200"/>
      <c r="X899" s="164"/>
      <c r="Y899" s="378"/>
      <c r="Z899" s="378"/>
      <c r="AA899" s="370" t="e">
        <f t="shared" ca="1" si="556"/>
        <v>#NAME?</v>
      </c>
      <c r="AB899" s="183"/>
      <c r="AC899" s="178"/>
      <c r="AD899" s="178"/>
      <c r="AE899" s="178">
        <f t="shared" si="569"/>
        <v>0</v>
      </c>
      <c r="AF899" s="178"/>
      <c r="AG899" s="178"/>
      <c r="AH899" s="178"/>
      <c r="AI899" s="183"/>
      <c r="AJ899" s="378"/>
      <c r="AK899" s="171">
        <f t="shared" si="548"/>
        <v>0</v>
      </c>
      <c r="AL899" s="171"/>
      <c r="AM899" s="171"/>
      <c r="AN899" s="165"/>
      <c r="AO899" s="193"/>
      <c r="AP899" s="193" t="e">
        <f t="shared" ca="1" si="555"/>
        <v>#NAME?</v>
      </c>
      <c r="AQ899" s="200"/>
      <c r="AR899" s="204">
        <f t="shared" si="563"/>
        <v>0</v>
      </c>
      <c r="AS899" s="204"/>
      <c r="AT899" s="204">
        <f t="shared" si="564"/>
        <v>0</v>
      </c>
      <c r="AU899" s="204"/>
      <c r="AV899" s="204">
        <f t="shared" si="565"/>
        <v>0</v>
      </c>
    </row>
    <row r="900" spans="1:48" ht="12" customHeight="1">
      <c r="A900" s="209"/>
      <c r="B900" s="209"/>
      <c r="C900" s="209"/>
      <c r="D900" s="209"/>
      <c r="E900" s="209"/>
      <c r="F900" s="209"/>
      <c r="G900" s="209"/>
      <c r="H900" s="1" t="s">
        <v>728</v>
      </c>
      <c r="I900" s="397">
        <v>860</v>
      </c>
      <c r="J900" s="229">
        <v>3811</v>
      </c>
      <c r="K900" s="278" t="s">
        <v>729</v>
      </c>
      <c r="L900" s="130"/>
      <c r="M900" s="130"/>
      <c r="N900" s="131"/>
      <c r="O900" s="131"/>
      <c r="P900" s="132"/>
      <c r="Q900" s="132"/>
      <c r="R900" s="159"/>
      <c r="S900" s="165" t="e">
        <f ca="1">__xlfn.XLOOKUP(H900,[1]Izvršenje_proračuna_po_pozicija!$B$2:$B$153,[1]Izvršenje_proračuna_po_pozicija!$E$2:$E$153,0)</f>
        <v>#NAME?</v>
      </c>
      <c r="T900" s="165"/>
      <c r="U900" s="165"/>
      <c r="V900" s="200"/>
      <c r="W900" s="200"/>
      <c r="X900" s="164"/>
      <c r="Y900" s="378"/>
      <c r="Z900" s="378"/>
      <c r="AA900" s="370" t="e">
        <f t="shared" ca="1" si="556"/>
        <v>#NAME?</v>
      </c>
      <c r="AB900" s="183"/>
      <c r="AC900" s="178"/>
      <c r="AD900" s="178"/>
      <c r="AE900" s="178"/>
      <c r="AF900" s="178"/>
      <c r="AG900" s="178"/>
      <c r="AH900" s="178"/>
      <c r="AI900" s="183"/>
      <c r="AJ900" s="378"/>
      <c r="AK900" s="171"/>
      <c r="AL900" s="171"/>
      <c r="AM900" s="171"/>
      <c r="AN900" s="165"/>
      <c r="AO900" s="193"/>
      <c r="AP900" s="193" t="e">
        <f t="shared" ca="1" si="555"/>
        <v>#NAME?</v>
      </c>
      <c r="AQ900" s="200"/>
      <c r="AR900" s="204"/>
      <c r="AS900" s="204"/>
      <c r="AT900" s="204"/>
      <c r="AU900" s="204"/>
      <c r="AV900" s="204"/>
    </row>
    <row r="901" spans="1:48" ht="12" customHeight="1">
      <c r="A901" s="209"/>
      <c r="B901" s="209"/>
      <c r="C901" s="209"/>
      <c r="D901" s="209"/>
      <c r="E901" s="209"/>
      <c r="F901" s="209"/>
      <c r="G901" s="209"/>
      <c r="H901" s="1" t="s">
        <v>730</v>
      </c>
      <c r="I901" s="397">
        <v>860</v>
      </c>
      <c r="J901" s="229">
        <v>3811</v>
      </c>
      <c r="K901" s="229" t="s">
        <v>731</v>
      </c>
      <c r="L901" s="130">
        <v>8000</v>
      </c>
      <c r="M901" s="130">
        <f>8000/7.5345</f>
        <v>1061.7824673170085</v>
      </c>
      <c r="N901" s="131"/>
      <c r="O901" s="131"/>
      <c r="P901" s="132"/>
      <c r="Q901" s="132"/>
      <c r="R901" s="159">
        <v>1600</v>
      </c>
      <c r="S901" s="165" t="e">
        <f ca="1">__xlfn.XLOOKUP(H901,[1]Izvršenje_proračuna_po_pozicija!$B$2:$B$153,[1]Izvršenje_proračuna_po_pozicija!$E$2:$E$153,0)</f>
        <v>#NAME?</v>
      </c>
      <c r="T901" s="165"/>
      <c r="U901" s="165"/>
      <c r="V901" s="200"/>
      <c r="W901" s="200"/>
      <c r="X901" s="164"/>
      <c r="Y901" s="378"/>
      <c r="Z901" s="378"/>
      <c r="AA901" s="370" t="e">
        <f t="shared" ca="1" si="556"/>
        <v>#NAME?</v>
      </c>
      <c r="AB901" s="183"/>
      <c r="AC901" s="178"/>
      <c r="AD901" s="178"/>
      <c r="AE901" s="178">
        <f>O901/M901*100</f>
        <v>0</v>
      </c>
      <c r="AF901" s="178"/>
      <c r="AG901" s="178"/>
      <c r="AH901" s="178"/>
      <c r="AI901" s="183"/>
      <c r="AJ901" s="378"/>
      <c r="AK901" s="171">
        <f t="shared" si="548"/>
        <v>0</v>
      </c>
      <c r="AL901" s="171"/>
      <c r="AM901" s="171"/>
      <c r="AN901" s="165"/>
      <c r="AO901" s="193"/>
      <c r="AP901" s="193" t="e">
        <f t="shared" ca="1" si="555"/>
        <v>#NAME?</v>
      </c>
      <c r="AQ901" s="200"/>
      <c r="AR901" s="204">
        <f t="shared" si="563"/>
        <v>0</v>
      </c>
      <c r="AS901" s="204"/>
      <c r="AT901" s="204">
        <f t="shared" si="564"/>
        <v>0</v>
      </c>
      <c r="AU901" s="204"/>
      <c r="AV901" s="204">
        <f t="shared" si="565"/>
        <v>0</v>
      </c>
    </row>
    <row r="902" spans="1:48" ht="12" customHeight="1">
      <c r="A902" s="209"/>
      <c r="B902" s="209"/>
      <c r="C902" s="209"/>
      <c r="D902" s="209"/>
      <c r="E902" s="209"/>
      <c r="F902" s="209"/>
      <c r="G902" s="209"/>
      <c r="H902" s="1" t="s">
        <v>732</v>
      </c>
      <c r="I902" s="397">
        <v>860</v>
      </c>
      <c r="J902" s="229">
        <v>3811</v>
      </c>
      <c r="K902" s="278" t="s">
        <v>733</v>
      </c>
      <c r="L902" s="130"/>
      <c r="M902" s="130"/>
      <c r="N902" s="131"/>
      <c r="O902" s="131"/>
      <c r="P902" s="132"/>
      <c r="Q902" s="132"/>
      <c r="R902" s="159"/>
      <c r="S902" s="165" t="e">
        <f ca="1">__xlfn.XLOOKUP(H902,[1]Izvršenje_proračuna_po_pozicija!$B$2:$B$153,[1]Izvršenje_proračuna_po_pozicija!$E$2:$E$153,0)</f>
        <v>#NAME?</v>
      </c>
      <c r="T902" s="165"/>
      <c r="U902" s="165"/>
      <c r="V902" s="200"/>
      <c r="W902" s="200"/>
      <c r="X902" s="164"/>
      <c r="Y902" s="378"/>
      <c r="Z902" s="378"/>
      <c r="AA902" s="370" t="e">
        <f t="shared" ca="1" si="556"/>
        <v>#NAME?</v>
      </c>
      <c r="AB902" s="183"/>
      <c r="AC902" s="178"/>
      <c r="AD902" s="178"/>
      <c r="AE902" s="178"/>
      <c r="AF902" s="178"/>
      <c r="AG902" s="178"/>
      <c r="AH902" s="178"/>
      <c r="AI902" s="183"/>
      <c r="AJ902" s="378"/>
      <c r="AK902" s="171"/>
      <c r="AL902" s="171"/>
      <c r="AM902" s="171"/>
      <c r="AN902" s="165"/>
      <c r="AO902" s="193"/>
      <c r="AP902" s="193" t="e">
        <f t="shared" ca="1" si="555"/>
        <v>#NAME?</v>
      </c>
      <c r="AQ902" s="200"/>
      <c r="AR902" s="204"/>
      <c r="AS902" s="204"/>
      <c r="AT902" s="204"/>
      <c r="AU902" s="204"/>
      <c r="AV902" s="204"/>
    </row>
    <row r="903" spans="1:48" ht="12" customHeight="1">
      <c r="A903" s="209"/>
      <c r="B903" s="209"/>
      <c r="C903" s="209"/>
      <c r="D903" s="209"/>
      <c r="E903" s="209"/>
      <c r="F903" s="209"/>
      <c r="G903" s="209"/>
      <c r="H903" s="1" t="s">
        <v>734</v>
      </c>
      <c r="I903" s="397">
        <v>860</v>
      </c>
      <c r="J903" s="229">
        <v>3811</v>
      </c>
      <c r="K903" s="278" t="s">
        <v>735</v>
      </c>
      <c r="L903" s="130">
        <v>32000</v>
      </c>
      <c r="M903" s="130">
        <f>32000/7.5345</f>
        <v>4247.1298692680339</v>
      </c>
      <c r="N903" s="131"/>
      <c r="O903" s="131"/>
      <c r="P903" s="132"/>
      <c r="Q903" s="132"/>
      <c r="R903" s="159">
        <v>1200</v>
      </c>
      <c r="S903" s="165" t="e">
        <f ca="1">__xlfn.XLOOKUP(H903,[1]Izvršenje_proračuna_po_pozicija!$B$2:$B$153,[1]Izvršenje_proračuna_po_pozicija!$E$2:$E$153,0)</f>
        <v>#NAME?</v>
      </c>
      <c r="T903" s="165"/>
      <c r="U903" s="165"/>
      <c r="V903" s="200">
        <v>15400</v>
      </c>
      <c r="W903" s="200">
        <v>15529</v>
      </c>
      <c r="X903" s="164">
        <v>18000</v>
      </c>
      <c r="Y903" s="378">
        <v>20000</v>
      </c>
      <c r="Z903" s="378"/>
      <c r="AA903" s="370" t="e">
        <f t="shared" ca="1" si="556"/>
        <v>#NAME?</v>
      </c>
      <c r="AB903" s="183"/>
      <c r="AC903" s="178"/>
      <c r="AD903" s="178"/>
      <c r="AE903" s="178">
        <f>O903/M903*100</f>
        <v>0</v>
      </c>
      <c r="AF903" s="178"/>
      <c r="AG903" s="178"/>
      <c r="AH903" s="178"/>
      <c r="AI903" s="183"/>
      <c r="AJ903" s="378">
        <v>20000</v>
      </c>
      <c r="AK903" s="171">
        <f t="shared" si="548"/>
        <v>1294.0833333333335</v>
      </c>
      <c r="AL903" s="171">
        <f t="shared" si="549"/>
        <v>115.91216433769078</v>
      </c>
      <c r="AM903" s="171">
        <f t="shared" si="549"/>
        <v>111.11111111111111</v>
      </c>
      <c r="AN903" s="165"/>
      <c r="AO903" s="193"/>
      <c r="AP903" s="193" t="e">
        <f t="shared" ca="1" si="555"/>
        <v>#NAME?</v>
      </c>
      <c r="AQ903" s="200">
        <v>15529</v>
      </c>
      <c r="AR903" s="204">
        <f t="shared" si="563"/>
        <v>1283.3333333333335</v>
      </c>
      <c r="AS903" s="204">
        <f>W903/V903*100</f>
        <v>100.83766233766234</v>
      </c>
      <c r="AT903" s="204">
        <f t="shared" si="564"/>
        <v>1294.0833333333335</v>
      </c>
      <c r="AU903" s="204">
        <f>AQ903/W903*100</f>
        <v>100</v>
      </c>
      <c r="AV903" s="204">
        <f t="shared" si="565"/>
        <v>1294.0833333333335</v>
      </c>
    </row>
    <row r="904" spans="1:48" ht="12" customHeight="1">
      <c r="A904" s="209"/>
      <c r="B904" s="209"/>
      <c r="C904" s="209"/>
      <c r="D904" s="209"/>
      <c r="E904" s="209"/>
      <c r="F904" s="209"/>
      <c r="G904" s="209"/>
      <c r="H904" s="1"/>
      <c r="I904" s="397"/>
      <c r="J904" s="18"/>
      <c r="K904" s="278"/>
      <c r="L904" s="130"/>
      <c r="M904" s="130"/>
      <c r="N904" s="131"/>
      <c r="O904" s="131"/>
      <c r="P904" s="132"/>
      <c r="Q904" s="132"/>
      <c r="R904" s="159"/>
      <c r="S904" s="165" t="e">
        <f ca="1">__xlfn.XLOOKUP(H904,[1]Izvršenje_proračuna_po_pozicija!$B$2:$B$153,[1]Izvršenje_proračuna_po_pozicija!$E$2:$E$153,0)</f>
        <v>#NAME?</v>
      </c>
      <c r="T904" s="165"/>
      <c r="U904" s="165"/>
      <c r="V904" s="200"/>
      <c r="W904" s="200"/>
      <c r="X904" s="164"/>
      <c r="Y904" s="378"/>
      <c r="Z904" s="378"/>
      <c r="AA904" s="370" t="e">
        <f t="shared" ca="1" si="556"/>
        <v>#NAME?</v>
      </c>
      <c r="AB904" s="183"/>
      <c r="AC904" s="178"/>
      <c r="AD904" s="178"/>
      <c r="AE904" s="178"/>
      <c r="AF904" s="178"/>
      <c r="AG904" s="178"/>
      <c r="AH904" s="178"/>
      <c r="AI904" s="183"/>
      <c r="AJ904" s="378"/>
      <c r="AK904" s="171"/>
      <c r="AL904" s="171"/>
      <c r="AM904" s="171"/>
      <c r="AN904" s="165"/>
      <c r="AO904" s="193"/>
      <c r="AP904" s="193" t="e">
        <f t="shared" ca="1" si="555"/>
        <v>#NAME?</v>
      </c>
      <c r="AQ904" s="200"/>
      <c r="AR904" s="204"/>
      <c r="AS904" s="204"/>
      <c r="AT904" s="204"/>
      <c r="AU904" s="204"/>
      <c r="AV904" s="204"/>
    </row>
    <row r="905" spans="1:48" ht="12" customHeight="1">
      <c r="A905" s="437"/>
      <c r="B905" s="437"/>
      <c r="C905" s="437"/>
      <c r="D905" s="437"/>
      <c r="E905" s="437"/>
      <c r="F905" s="437"/>
      <c r="G905" s="437"/>
      <c r="H905" s="438"/>
      <c r="I905" s="489" t="s">
        <v>736</v>
      </c>
      <c r="J905" s="490"/>
      <c r="K905" s="297"/>
      <c r="L905" s="112">
        <f t="shared" ref="L905:S905" si="572">L906+L922</f>
        <v>15225</v>
      </c>
      <c r="M905" s="112">
        <f t="shared" si="572"/>
        <v>2020.7047581126815</v>
      </c>
      <c r="N905" s="113">
        <f t="shared" si="572"/>
        <v>13588</v>
      </c>
      <c r="O905" s="113">
        <f t="shared" si="572"/>
        <v>1803.4375207379387</v>
      </c>
      <c r="P905" s="114">
        <f t="shared" si="572"/>
        <v>11300</v>
      </c>
      <c r="Q905" s="114">
        <f t="shared" si="572"/>
        <v>11300</v>
      </c>
      <c r="R905" s="88">
        <f t="shared" si="572"/>
        <v>3504</v>
      </c>
      <c r="S905" s="90" t="e">
        <f t="shared" ca="1" si="572"/>
        <v>#NAME?</v>
      </c>
      <c r="T905" s="90"/>
      <c r="U905" s="90"/>
      <c r="V905" s="200">
        <f>V906+V922</f>
        <v>5000</v>
      </c>
      <c r="W905" s="200">
        <f>W906+W922</f>
        <v>5000</v>
      </c>
      <c r="X905" s="88">
        <f>X906+X922</f>
        <v>5500</v>
      </c>
      <c r="Y905" s="171">
        <f>Y906+Y922</f>
        <v>7000</v>
      </c>
      <c r="Z905" s="171">
        <f>Z906+Z922</f>
        <v>0</v>
      </c>
      <c r="AA905" s="370" t="e">
        <f t="shared" ca="1" si="556"/>
        <v>#NAME?</v>
      </c>
      <c r="AB905" s="171"/>
      <c r="AC905" s="172">
        <f>AC906+AC922</f>
        <v>16500</v>
      </c>
      <c r="AD905" s="172">
        <f>AD906+AD922</f>
        <v>16500</v>
      </c>
      <c r="AE905" s="178">
        <f>O905/M905*100</f>
        <v>89.247947454844009</v>
      </c>
      <c r="AF905" s="178">
        <f>P905/O905*100</f>
        <v>626.58117456579339</v>
      </c>
      <c r="AG905" s="178">
        <f>Q905/P905*100</f>
        <v>100</v>
      </c>
      <c r="AH905" s="178">
        <f>AC905/Q905*100</f>
        <v>146.01769911504425</v>
      </c>
      <c r="AI905" s="171"/>
      <c r="AJ905" s="171">
        <v>7000</v>
      </c>
      <c r="AK905" s="171">
        <f t="shared" si="548"/>
        <v>142.69406392694063</v>
      </c>
      <c r="AL905" s="171">
        <f t="shared" si="549"/>
        <v>110.00000000000001</v>
      </c>
      <c r="AM905" s="171">
        <f t="shared" si="549"/>
        <v>127.27272727272727</v>
      </c>
      <c r="AN905" s="90"/>
      <c r="AO905" s="193"/>
      <c r="AP905" s="193" t="e">
        <f t="shared" ca="1" si="555"/>
        <v>#NAME?</v>
      </c>
      <c r="AQ905" s="200">
        <f>AQ906+AQ922</f>
        <v>7116.18</v>
      </c>
      <c r="AR905" s="204">
        <f t="shared" si="563"/>
        <v>142.69406392694063</v>
      </c>
      <c r="AS905" s="204">
        <f>W905/V905*100</f>
        <v>100</v>
      </c>
      <c r="AT905" s="204">
        <f t="shared" si="564"/>
        <v>142.69406392694063</v>
      </c>
      <c r="AU905" s="204">
        <f>AQ905/W905*100</f>
        <v>142.32360000000003</v>
      </c>
      <c r="AV905" s="204">
        <f t="shared" si="565"/>
        <v>203.08732876712327</v>
      </c>
    </row>
    <row r="906" spans="1:48" ht="12" customHeight="1">
      <c r="A906" s="390" t="s">
        <v>331</v>
      </c>
      <c r="B906" s="391"/>
      <c r="C906" s="391"/>
      <c r="D906" s="391"/>
      <c r="E906" s="391"/>
      <c r="F906" s="391"/>
      <c r="G906" s="391"/>
      <c r="H906" s="392"/>
      <c r="I906" s="485" t="s">
        <v>737</v>
      </c>
      <c r="J906" s="486"/>
      <c r="K906" s="300"/>
      <c r="L906" s="112">
        <f t="shared" ref="L906:S906" si="573">L908</f>
        <v>15225</v>
      </c>
      <c r="M906" s="112">
        <f t="shared" si="573"/>
        <v>2020.7047581126815</v>
      </c>
      <c r="N906" s="113">
        <f t="shared" si="573"/>
        <v>13588</v>
      </c>
      <c r="O906" s="113">
        <f t="shared" si="573"/>
        <v>1803.4375207379387</v>
      </c>
      <c r="P906" s="114">
        <f t="shared" si="573"/>
        <v>11300</v>
      </c>
      <c r="Q906" s="114">
        <f t="shared" si="573"/>
        <v>11300</v>
      </c>
      <c r="R906" s="88">
        <f t="shared" si="573"/>
        <v>3504</v>
      </c>
      <c r="S906" s="90" t="e">
        <f t="shared" ca="1" si="573"/>
        <v>#NAME?</v>
      </c>
      <c r="T906" s="90"/>
      <c r="U906" s="90"/>
      <c r="V906" s="200">
        <f>V908</f>
        <v>5000</v>
      </c>
      <c r="W906" s="200">
        <f>W908</f>
        <v>5000</v>
      </c>
      <c r="X906" s="88">
        <f>X908</f>
        <v>5500</v>
      </c>
      <c r="Y906" s="171">
        <f>Y908</f>
        <v>7000</v>
      </c>
      <c r="Z906" s="171">
        <f>Z908</f>
        <v>0</v>
      </c>
      <c r="AA906" s="370" t="e">
        <f t="shared" ca="1" si="556"/>
        <v>#NAME?</v>
      </c>
      <c r="AB906" s="171"/>
      <c r="AC906" s="172">
        <f>AC908</f>
        <v>11500</v>
      </c>
      <c r="AD906" s="172">
        <f>AD908</f>
        <v>11500</v>
      </c>
      <c r="AE906" s="178">
        <f>O906/M906*100</f>
        <v>89.247947454844009</v>
      </c>
      <c r="AF906" s="178">
        <f>P906/O906*100</f>
        <v>626.58117456579339</v>
      </c>
      <c r="AG906" s="178">
        <f>Q906/P906*100</f>
        <v>100</v>
      </c>
      <c r="AH906" s="178">
        <f>AC906/Q906*100</f>
        <v>101.76991150442478</v>
      </c>
      <c r="AI906" s="171"/>
      <c r="AJ906" s="171">
        <v>7000</v>
      </c>
      <c r="AK906" s="171">
        <f t="shared" si="548"/>
        <v>142.69406392694063</v>
      </c>
      <c r="AL906" s="171">
        <f t="shared" si="549"/>
        <v>110.00000000000001</v>
      </c>
      <c r="AM906" s="171">
        <f t="shared" si="549"/>
        <v>127.27272727272727</v>
      </c>
      <c r="AN906" s="90"/>
      <c r="AO906" s="193"/>
      <c r="AP906" s="193" t="e">
        <f t="shared" ca="1" si="555"/>
        <v>#NAME?</v>
      </c>
      <c r="AQ906" s="200">
        <f>AQ908</f>
        <v>7116.18</v>
      </c>
      <c r="AR906" s="204">
        <f t="shared" si="563"/>
        <v>142.69406392694063</v>
      </c>
      <c r="AS906" s="204">
        <f>W906/V906*100</f>
        <v>100</v>
      </c>
      <c r="AT906" s="204">
        <f t="shared" si="564"/>
        <v>142.69406392694063</v>
      </c>
      <c r="AU906" s="204">
        <f>AQ906/W906*100</f>
        <v>142.32360000000003</v>
      </c>
      <c r="AV906" s="204">
        <f t="shared" si="565"/>
        <v>203.08732876712327</v>
      </c>
    </row>
    <row r="907" spans="1:48" ht="12" customHeight="1">
      <c r="A907" s="42"/>
      <c r="B907" s="42"/>
      <c r="C907" s="42"/>
      <c r="D907" s="42"/>
      <c r="E907" s="42"/>
      <c r="F907" s="42"/>
      <c r="G907" s="42"/>
      <c r="H907" s="308"/>
      <c r="I907" s="14"/>
      <c r="J907" s="2"/>
      <c r="K907" s="281"/>
      <c r="L907" s="85"/>
      <c r="M907" s="85"/>
      <c r="N907" s="86"/>
      <c r="O907" s="86"/>
      <c r="P907" s="87"/>
      <c r="Q907" s="87"/>
      <c r="R907" s="160"/>
      <c r="S907" s="165" t="e">
        <f ca="1">__xlfn.XLOOKUP(H907,[1]Izvršenje_proračuna_po_pozicija!$B$2:$B$153,[1]Izvršenje_proračuna_po_pozicija!$E$2:$E$153,0)</f>
        <v>#NAME?</v>
      </c>
      <c r="T907" s="165"/>
      <c r="U907" s="165"/>
      <c r="V907" s="200"/>
      <c r="W907" s="200"/>
      <c r="X907" s="361"/>
      <c r="Y907" s="373"/>
      <c r="Z907" s="373"/>
      <c r="AA907" s="370" t="e">
        <f t="shared" ca="1" si="556"/>
        <v>#NAME?</v>
      </c>
      <c r="AB907" s="181"/>
      <c r="AC907" s="182"/>
      <c r="AD907" s="182"/>
      <c r="AE907" s="178"/>
      <c r="AF907" s="178"/>
      <c r="AG907" s="178"/>
      <c r="AH907" s="178"/>
      <c r="AI907" s="181"/>
      <c r="AJ907" s="373"/>
      <c r="AK907" s="171"/>
      <c r="AL907" s="171"/>
      <c r="AM907" s="171"/>
      <c r="AN907" s="161"/>
      <c r="AO907" s="193"/>
      <c r="AP907" s="193" t="e">
        <f t="shared" ca="1" si="555"/>
        <v>#NAME?</v>
      </c>
      <c r="AQ907" s="200"/>
      <c r="AR907" s="204"/>
      <c r="AS907" s="204"/>
      <c r="AT907" s="204"/>
      <c r="AU907" s="204"/>
      <c r="AV907" s="204"/>
    </row>
    <row r="908" spans="1:48" ht="12" customHeight="1">
      <c r="A908" s="24"/>
      <c r="B908" s="24"/>
      <c r="C908" s="24"/>
      <c r="D908" s="24"/>
      <c r="E908" s="24"/>
      <c r="F908" s="24"/>
      <c r="G908" s="24"/>
      <c r="H908" s="393"/>
      <c r="I908" s="465"/>
      <c r="J908" s="281">
        <v>3</v>
      </c>
      <c r="K908" s="2" t="s">
        <v>224</v>
      </c>
      <c r="L908" s="112">
        <f t="shared" ref="L908:Z910" si="574">L909</f>
        <v>15225</v>
      </c>
      <c r="M908" s="112">
        <f t="shared" si="574"/>
        <v>2020.7047581126815</v>
      </c>
      <c r="N908" s="113">
        <f t="shared" si="574"/>
        <v>13588</v>
      </c>
      <c r="O908" s="113">
        <f t="shared" si="574"/>
        <v>1803.4375207379387</v>
      </c>
      <c r="P908" s="114">
        <f t="shared" si="574"/>
        <v>11300</v>
      </c>
      <c r="Q908" s="114">
        <f t="shared" si="574"/>
        <v>11300</v>
      </c>
      <c r="R908" s="88">
        <f t="shared" si="574"/>
        <v>3504</v>
      </c>
      <c r="S908" s="90" t="e">
        <f t="shared" ca="1" si="574"/>
        <v>#NAME?</v>
      </c>
      <c r="T908" s="90"/>
      <c r="U908" s="90"/>
      <c r="V908" s="200">
        <f>V909</f>
        <v>5000</v>
      </c>
      <c r="W908" s="200">
        <f t="shared" si="574"/>
        <v>5000</v>
      </c>
      <c r="X908" s="88">
        <f t="shared" si="574"/>
        <v>5500</v>
      </c>
      <c r="Y908" s="171">
        <f t="shared" si="574"/>
        <v>7000</v>
      </c>
      <c r="Z908" s="171">
        <f t="shared" si="574"/>
        <v>0</v>
      </c>
      <c r="AA908" s="370" t="e">
        <f t="shared" ca="1" si="556"/>
        <v>#NAME?</v>
      </c>
      <c r="AB908" s="171"/>
      <c r="AC908" s="172">
        <f t="shared" ref="AC908:AD910" si="575">AC909</f>
        <v>11500</v>
      </c>
      <c r="AD908" s="172">
        <f t="shared" si="575"/>
        <v>11500</v>
      </c>
      <c r="AE908" s="178">
        <f>O908/M908*100</f>
        <v>89.247947454844009</v>
      </c>
      <c r="AF908" s="178">
        <f t="shared" ref="AF908:AG912" si="576">P908/O908*100</f>
        <v>626.58117456579339</v>
      </c>
      <c r="AG908" s="178">
        <f t="shared" si="576"/>
        <v>100</v>
      </c>
      <c r="AH908" s="178">
        <f>AC908/Q908*100</f>
        <v>101.76991150442478</v>
      </c>
      <c r="AI908" s="171"/>
      <c r="AJ908" s="171">
        <v>7000</v>
      </c>
      <c r="AK908" s="171">
        <f t="shared" si="548"/>
        <v>142.69406392694063</v>
      </c>
      <c r="AL908" s="171">
        <f t="shared" si="549"/>
        <v>110.00000000000001</v>
      </c>
      <c r="AM908" s="171">
        <f t="shared" si="549"/>
        <v>127.27272727272727</v>
      </c>
      <c r="AN908" s="90"/>
      <c r="AO908" s="193"/>
      <c r="AP908" s="193" t="e">
        <f t="shared" ca="1" si="555"/>
        <v>#NAME?</v>
      </c>
      <c r="AQ908" s="200">
        <f>AQ909</f>
        <v>7116.18</v>
      </c>
      <c r="AR908" s="204">
        <f t="shared" si="563"/>
        <v>142.69406392694063</v>
      </c>
      <c r="AS908" s="204">
        <f t="shared" ref="AS908:AS913" si="577">W908/V908*100</f>
        <v>100</v>
      </c>
      <c r="AT908" s="204">
        <f t="shared" si="564"/>
        <v>142.69406392694063</v>
      </c>
      <c r="AU908" s="204">
        <f t="shared" ref="AU908:AU913" si="578">AQ908/W908*100</f>
        <v>142.32360000000003</v>
      </c>
      <c r="AV908" s="204">
        <f t="shared" si="565"/>
        <v>203.08732876712327</v>
      </c>
    </row>
    <row r="909" spans="1:48" ht="12" customHeight="1">
      <c r="A909" s="301"/>
      <c r="B909" s="301"/>
      <c r="C909" s="301"/>
      <c r="D909" s="301"/>
      <c r="E909" s="301"/>
      <c r="F909" s="301"/>
      <c r="G909" s="301"/>
      <c r="H909" s="307"/>
      <c r="I909" s="350"/>
      <c r="J909" s="302">
        <v>36</v>
      </c>
      <c r="K909" s="343" t="s">
        <v>738</v>
      </c>
      <c r="L909" s="112">
        <f t="shared" si="574"/>
        <v>15225</v>
      </c>
      <c r="M909" s="112">
        <f t="shared" si="574"/>
        <v>2020.7047581126815</v>
      </c>
      <c r="N909" s="113">
        <f t="shared" si="574"/>
        <v>13588</v>
      </c>
      <c r="O909" s="113">
        <f t="shared" si="574"/>
        <v>1803.4375207379387</v>
      </c>
      <c r="P909" s="114">
        <f t="shared" si="574"/>
        <v>11300</v>
      </c>
      <c r="Q909" s="114">
        <f t="shared" si="574"/>
        <v>11300</v>
      </c>
      <c r="R909" s="88">
        <f t="shared" si="574"/>
        <v>3504</v>
      </c>
      <c r="S909" s="90" t="e">
        <f t="shared" ca="1" si="574"/>
        <v>#NAME?</v>
      </c>
      <c r="T909" s="90"/>
      <c r="U909" s="90"/>
      <c r="V909" s="200">
        <f>V910</f>
        <v>5000</v>
      </c>
      <c r="W909" s="200">
        <f t="shared" si="574"/>
        <v>5000</v>
      </c>
      <c r="X909" s="88">
        <f t="shared" si="574"/>
        <v>5500</v>
      </c>
      <c r="Y909" s="171">
        <f t="shared" si="574"/>
        <v>7000</v>
      </c>
      <c r="Z909" s="171">
        <f t="shared" si="574"/>
        <v>0</v>
      </c>
      <c r="AA909" s="370" t="e">
        <f t="shared" ca="1" si="556"/>
        <v>#NAME?</v>
      </c>
      <c r="AB909" s="171"/>
      <c r="AC909" s="172">
        <f t="shared" si="575"/>
        <v>11500</v>
      </c>
      <c r="AD909" s="172">
        <f t="shared" si="575"/>
        <v>11500</v>
      </c>
      <c r="AE909" s="178">
        <f>O909/M909*100</f>
        <v>89.247947454844009</v>
      </c>
      <c r="AF909" s="178">
        <f t="shared" si="576"/>
        <v>626.58117456579339</v>
      </c>
      <c r="AG909" s="178">
        <f t="shared" si="576"/>
        <v>100</v>
      </c>
      <c r="AH909" s="178">
        <f>AC909/Q909*100</f>
        <v>101.76991150442478</v>
      </c>
      <c r="AI909" s="171"/>
      <c r="AJ909" s="171">
        <v>7000</v>
      </c>
      <c r="AK909" s="171">
        <f t="shared" si="548"/>
        <v>142.69406392694063</v>
      </c>
      <c r="AL909" s="171">
        <f t="shared" si="549"/>
        <v>110.00000000000001</v>
      </c>
      <c r="AM909" s="171">
        <f t="shared" si="549"/>
        <v>127.27272727272727</v>
      </c>
      <c r="AN909" s="90"/>
      <c r="AO909" s="193"/>
      <c r="AP909" s="193" t="e">
        <f t="shared" ca="1" si="555"/>
        <v>#NAME?</v>
      </c>
      <c r="AQ909" s="200">
        <f>AQ910</f>
        <v>7116.18</v>
      </c>
      <c r="AR909" s="204">
        <f t="shared" si="563"/>
        <v>142.69406392694063</v>
      </c>
      <c r="AS909" s="204">
        <f t="shared" si="577"/>
        <v>100</v>
      </c>
      <c r="AT909" s="204">
        <f t="shared" si="564"/>
        <v>142.69406392694063</v>
      </c>
      <c r="AU909" s="204">
        <f t="shared" si="578"/>
        <v>142.32360000000003</v>
      </c>
      <c r="AV909" s="204">
        <f t="shared" si="565"/>
        <v>203.08732876712327</v>
      </c>
    </row>
    <row r="910" spans="1:48" ht="12" customHeight="1">
      <c r="A910" s="62"/>
      <c r="B910" s="62"/>
      <c r="C910" s="62"/>
      <c r="D910" s="62"/>
      <c r="E910" s="62"/>
      <c r="F910" s="62"/>
      <c r="G910" s="62"/>
      <c r="H910" s="304"/>
      <c r="I910" s="464"/>
      <c r="J910" s="303">
        <v>366</v>
      </c>
      <c r="K910" s="19" t="s">
        <v>739</v>
      </c>
      <c r="L910" s="112">
        <f t="shared" si="574"/>
        <v>15225</v>
      </c>
      <c r="M910" s="112">
        <f t="shared" si="574"/>
        <v>2020.7047581126815</v>
      </c>
      <c r="N910" s="113">
        <f t="shared" si="574"/>
        <v>13588</v>
      </c>
      <c r="O910" s="113">
        <f t="shared" si="574"/>
        <v>1803.4375207379387</v>
      </c>
      <c r="P910" s="114">
        <f t="shared" si="574"/>
        <v>11300</v>
      </c>
      <c r="Q910" s="114">
        <f t="shared" si="574"/>
        <v>11300</v>
      </c>
      <c r="R910" s="88">
        <f t="shared" si="574"/>
        <v>3504</v>
      </c>
      <c r="S910" s="90" t="e">
        <f t="shared" ca="1" si="574"/>
        <v>#NAME?</v>
      </c>
      <c r="T910" s="90"/>
      <c r="U910" s="90"/>
      <c r="V910" s="200">
        <f>V911</f>
        <v>5000</v>
      </c>
      <c r="W910" s="200">
        <f t="shared" si="574"/>
        <v>5000</v>
      </c>
      <c r="X910" s="88">
        <f t="shared" si="574"/>
        <v>5500</v>
      </c>
      <c r="Y910" s="171">
        <f t="shared" si="574"/>
        <v>7000</v>
      </c>
      <c r="Z910" s="171">
        <f t="shared" si="574"/>
        <v>0</v>
      </c>
      <c r="AA910" s="370" t="e">
        <f t="shared" ca="1" si="556"/>
        <v>#NAME?</v>
      </c>
      <c r="AB910" s="171"/>
      <c r="AC910" s="172">
        <f t="shared" si="575"/>
        <v>11500</v>
      </c>
      <c r="AD910" s="172">
        <f t="shared" si="575"/>
        <v>11500</v>
      </c>
      <c r="AE910" s="178">
        <f>O910/M910*100</f>
        <v>89.247947454844009</v>
      </c>
      <c r="AF910" s="178">
        <f t="shared" si="576"/>
        <v>626.58117456579339</v>
      </c>
      <c r="AG910" s="178">
        <f t="shared" si="576"/>
        <v>100</v>
      </c>
      <c r="AH910" s="178">
        <f>AC910/Q910*100</f>
        <v>101.76991150442478</v>
      </c>
      <c r="AI910" s="171"/>
      <c r="AJ910" s="171">
        <v>7000</v>
      </c>
      <c r="AK910" s="171">
        <f t="shared" si="548"/>
        <v>142.69406392694063</v>
      </c>
      <c r="AL910" s="171">
        <f t="shared" si="549"/>
        <v>110.00000000000001</v>
      </c>
      <c r="AM910" s="171">
        <f t="shared" si="549"/>
        <v>127.27272727272727</v>
      </c>
      <c r="AN910" s="90"/>
      <c r="AO910" s="193"/>
      <c r="AP910" s="193" t="e">
        <f t="shared" ca="1" si="555"/>
        <v>#NAME?</v>
      </c>
      <c r="AQ910" s="200">
        <f>AQ911</f>
        <v>7116.18</v>
      </c>
      <c r="AR910" s="204">
        <f t="shared" si="563"/>
        <v>142.69406392694063</v>
      </c>
      <c r="AS910" s="204">
        <f t="shared" si="577"/>
        <v>100</v>
      </c>
      <c r="AT910" s="204">
        <f t="shared" si="564"/>
        <v>142.69406392694063</v>
      </c>
      <c r="AU910" s="204">
        <f t="shared" si="578"/>
        <v>142.32360000000003</v>
      </c>
      <c r="AV910" s="204">
        <f t="shared" si="565"/>
        <v>203.08732876712327</v>
      </c>
    </row>
    <row r="911" spans="1:48" ht="12" customHeight="1">
      <c r="A911" s="53"/>
      <c r="B911" s="53"/>
      <c r="C911" s="53"/>
      <c r="D911" s="53"/>
      <c r="E911" s="53"/>
      <c r="F911" s="53"/>
      <c r="G911" s="53"/>
      <c r="H911" s="1"/>
      <c r="I911" s="397"/>
      <c r="J911" s="229">
        <v>3661</v>
      </c>
      <c r="K911" s="18" t="s">
        <v>740</v>
      </c>
      <c r="L911" s="112">
        <f t="shared" ref="L911:S911" si="579">L912+L913+L914</f>
        <v>15225</v>
      </c>
      <c r="M911" s="112">
        <f t="shared" si="579"/>
        <v>2020.7047581126815</v>
      </c>
      <c r="N911" s="113">
        <f t="shared" si="579"/>
        <v>13588</v>
      </c>
      <c r="O911" s="113">
        <f t="shared" si="579"/>
        <v>1803.4375207379387</v>
      </c>
      <c r="P911" s="114">
        <f t="shared" si="579"/>
        <v>11300</v>
      </c>
      <c r="Q911" s="114">
        <f t="shared" si="579"/>
        <v>11300</v>
      </c>
      <c r="R911" s="88">
        <f t="shared" si="579"/>
        <v>3504</v>
      </c>
      <c r="S911" s="90" t="e">
        <f t="shared" ca="1" si="579"/>
        <v>#NAME?</v>
      </c>
      <c r="T911" s="90"/>
      <c r="U911" s="90"/>
      <c r="V911" s="200">
        <f>V912+V913+V914</f>
        <v>5000</v>
      </c>
      <c r="W911" s="200">
        <f>W912+W913+W914</f>
        <v>5000</v>
      </c>
      <c r="X911" s="88">
        <f>X912+X913+X914</f>
        <v>5500</v>
      </c>
      <c r="Y911" s="171">
        <f>Y912+Y913+Y914</f>
        <v>7000</v>
      </c>
      <c r="Z911" s="171">
        <f>Z912+Z913+Z914</f>
        <v>0</v>
      </c>
      <c r="AA911" s="370" t="e">
        <f t="shared" ca="1" si="556"/>
        <v>#NAME?</v>
      </c>
      <c r="AB911" s="171"/>
      <c r="AC911" s="171">
        <f>AC912+AC913+AC914</f>
        <v>11500</v>
      </c>
      <c r="AD911" s="171">
        <f>AD912+AD913+AD914</f>
        <v>11500</v>
      </c>
      <c r="AE911" s="178">
        <f>O911/M911*100</f>
        <v>89.247947454844009</v>
      </c>
      <c r="AF911" s="178">
        <f t="shared" si="576"/>
        <v>626.58117456579339</v>
      </c>
      <c r="AG911" s="178">
        <f t="shared" si="576"/>
        <v>100</v>
      </c>
      <c r="AH911" s="178">
        <f>AC911/Q911*100</f>
        <v>101.76991150442478</v>
      </c>
      <c r="AI911" s="171"/>
      <c r="AJ911" s="171">
        <v>7000</v>
      </c>
      <c r="AK911" s="171">
        <f t="shared" si="548"/>
        <v>142.69406392694063</v>
      </c>
      <c r="AL911" s="171">
        <f t="shared" si="549"/>
        <v>110.00000000000001</v>
      </c>
      <c r="AM911" s="171">
        <f t="shared" si="549"/>
        <v>127.27272727272727</v>
      </c>
      <c r="AN911" s="90"/>
      <c r="AO911" s="193"/>
      <c r="AP911" s="193" t="e">
        <f t="shared" ca="1" si="555"/>
        <v>#NAME?</v>
      </c>
      <c r="AQ911" s="200">
        <f>AQ912+AQ913+AQ914</f>
        <v>7116.18</v>
      </c>
      <c r="AR911" s="204">
        <f t="shared" si="563"/>
        <v>142.69406392694063</v>
      </c>
      <c r="AS911" s="204">
        <f t="shared" si="577"/>
        <v>100</v>
      </c>
      <c r="AT911" s="204">
        <f t="shared" si="564"/>
        <v>142.69406392694063</v>
      </c>
      <c r="AU911" s="204">
        <f t="shared" si="578"/>
        <v>142.32360000000003</v>
      </c>
      <c r="AV911" s="204">
        <f t="shared" si="565"/>
        <v>203.08732876712327</v>
      </c>
    </row>
    <row r="912" spans="1:48" ht="12" customHeight="1">
      <c r="A912" s="53"/>
      <c r="B912" s="53"/>
      <c r="C912" s="53"/>
      <c r="D912" s="53"/>
      <c r="E912" s="53"/>
      <c r="F912" s="53"/>
      <c r="G912" s="53"/>
      <c r="H912" s="1">
        <v>163</v>
      </c>
      <c r="I912" s="397">
        <v>912</v>
      </c>
      <c r="J912" s="229">
        <v>3661</v>
      </c>
      <c r="K912" s="18" t="s">
        <v>741</v>
      </c>
      <c r="L912" s="130">
        <v>15225</v>
      </c>
      <c r="M912" s="130">
        <f>15225/7.5345</f>
        <v>2020.7047581126815</v>
      </c>
      <c r="N912" s="131">
        <v>9188</v>
      </c>
      <c r="O912" s="131">
        <f>N912/7.5345</f>
        <v>1219.4571637135841</v>
      </c>
      <c r="P912" s="132">
        <v>6500</v>
      </c>
      <c r="Q912" s="132">
        <v>6500</v>
      </c>
      <c r="R912" s="159">
        <v>3234</v>
      </c>
      <c r="S912" s="165" t="e">
        <f ca="1">__xlfn.XLOOKUP(H912,[1]Izvršenje_proračuna_po_pozicija!$B$2:$B$153,[1]Izvršenje_proračuna_po_pozicija!$E$2:$E$153,0)</f>
        <v>#NAME?</v>
      </c>
      <c r="T912" s="165"/>
      <c r="U912" s="165"/>
      <c r="V912" s="200">
        <v>4000</v>
      </c>
      <c r="W912" s="200">
        <v>4000</v>
      </c>
      <c r="X912" s="164">
        <v>4000</v>
      </c>
      <c r="Y912" s="378">
        <v>5000</v>
      </c>
      <c r="Z912" s="378"/>
      <c r="AA912" s="370" t="e">
        <f t="shared" ca="1" si="556"/>
        <v>#NAME?</v>
      </c>
      <c r="AB912" s="183"/>
      <c r="AC912" s="178">
        <v>6500</v>
      </c>
      <c r="AD912" s="178">
        <v>6500</v>
      </c>
      <c r="AE912" s="178">
        <f>O912/M912*100</f>
        <v>60.348111658456496</v>
      </c>
      <c r="AF912" s="178">
        <f t="shared" si="576"/>
        <v>533.02405311275584</v>
      </c>
      <c r="AG912" s="178">
        <f t="shared" si="576"/>
        <v>100</v>
      </c>
      <c r="AH912" s="178">
        <f>AC912/Q912*100</f>
        <v>100</v>
      </c>
      <c r="AI912" s="183"/>
      <c r="AJ912" s="378">
        <v>5000</v>
      </c>
      <c r="AK912" s="171">
        <f t="shared" si="548"/>
        <v>123.68583797155226</v>
      </c>
      <c r="AL912" s="171">
        <f t="shared" si="549"/>
        <v>100</v>
      </c>
      <c r="AM912" s="171">
        <f t="shared" si="549"/>
        <v>125</v>
      </c>
      <c r="AN912" s="165"/>
      <c r="AO912" s="193"/>
      <c r="AP912" s="193" t="e">
        <f t="shared" ca="1" si="555"/>
        <v>#NAME?</v>
      </c>
      <c r="AQ912" s="200">
        <v>6366.1</v>
      </c>
      <c r="AR912" s="204">
        <f t="shared" si="563"/>
        <v>123.68583797155226</v>
      </c>
      <c r="AS912" s="204">
        <f t="shared" si="577"/>
        <v>100</v>
      </c>
      <c r="AT912" s="204">
        <f t="shared" si="564"/>
        <v>123.68583797155226</v>
      </c>
      <c r="AU912" s="204">
        <f t="shared" si="578"/>
        <v>159.1525</v>
      </c>
      <c r="AV912" s="204">
        <f t="shared" si="565"/>
        <v>196.84910327767471</v>
      </c>
    </row>
    <row r="913" spans="1:48" ht="12" customHeight="1">
      <c r="A913" s="53"/>
      <c r="B913" s="53"/>
      <c r="C913" s="53"/>
      <c r="D913" s="53"/>
      <c r="E913" s="53"/>
      <c r="F913" s="53"/>
      <c r="G913" s="53"/>
      <c r="H913" s="1">
        <v>164</v>
      </c>
      <c r="I913" s="397">
        <v>920</v>
      </c>
      <c r="J913" s="229">
        <v>3661</v>
      </c>
      <c r="K913" s="18" t="s">
        <v>742</v>
      </c>
      <c r="L913" s="130">
        <v>0</v>
      </c>
      <c r="M913" s="130">
        <v>0</v>
      </c>
      <c r="N913" s="131">
        <v>4400</v>
      </c>
      <c r="O913" s="131">
        <f>N913/7.5345</f>
        <v>583.98035702435459</v>
      </c>
      <c r="P913" s="132">
        <v>4000</v>
      </c>
      <c r="Q913" s="132">
        <v>4000</v>
      </c>
      <c r="R913" s="159">
        <v>270</v>
      </c>
      <c r="S913" s="165" t="e">
        <f ca="1">__xlfn.XLOOKUP(H913,[1]Izvršenje_proračuna_po_pozicija!$B$2:$B$153,[1]Izvršenje_proračuna_po_pozicija!$E$2:$E$153,0)</f>
        <v>#NAME?</v>
      </c>
      <c r="T913" s="165"/>
      <c r="U913" s="165"/>
      <c r="V913" s="200">
        <v>1000</v>
      </c>
      <c r="W913" s="200">
        <v>1000</v>
      </c>
      <c r="X913" s="164">
        <v>1000</v>
      </c>
      <c r="Y913" s="378">
        <v>1500</v>
      </c>
      <c r="Z913" s="378"/>
      <c r="AA913" s="370" t="e">
        <f t="shared" ca="1" si="556"/>
        <v>#NAME?</v>
      </c>
      <c r="AB913" s="183"/>
      <c r="AC913" s="178">
        <v>4000</v>
      </c>
      <c r="AD913" s="178">
        <v>4000</v>
      </c>
      <c r="AE913" s="178"/>
      <c r="AF913" s="178"/>
      <c r="AG913" s="178"/>
      <c r="AH913" s="178"/>
      <c r="AI913" s="183"/>
      <c r="AJ913" s="378">
        <v>1500</v>
      </c>
      <c r="AK913" s="171">
        <f t="shared" si="548"/>
        <v>370.37037037037038</v>
      </c>
      <c r="AL913" s="171">
        <f t="shared" si="549"/>
        <v>100</v>
      </c>
      <c r="AM913" s="171">
        <f t="shared" si="549"/>
        <v>150</v>
      </c>
      <c r="AN913" s="165"/>
      <c r="AO913" s="193"/>
      <c r="AP913" s="193" t="e">
        <f t="shared" ca="1" si="555"/>
        <v>#NAME?</v>
      </c>
      <c r="AQ913" s="200">
        <v>750.08</v>
      </c>
      <c r="AR913" s="204">
        <f t="shared" si="563"/>
        <v>370.37037037037038</v>
      </c>
      <c r="AS913" s="204">
        <f t="shared" si="577"/>
        <v>100</v>
      </c>
      <c r="AT913" s="204">
        <f t="shared" si="564"/>
        <v>370.37037037037038</v>
      </c>
      <c r="AU913" s="204">
        <f t="shared" si="578"/>
        <v>75.00800000000001</v>
      </c>
      <c r="AV913" s="204">
        <f t="shared" si="565"/>
        <v>277.80740740740742</v>
      </c>
    </row>
    <row r="914" spans="1:48" ht="12" customHeight="1">
      <c r="A914" s="53"/>
      <c r="B914" s="53"/>
      <c r="C914" s="53"/>
      <c r="D914" s="53"/>
      <c r="E914" s="53"/>
      <c r="F914" s="53"/>
      <c r="G914" s="53"/>
      <c r="H914" s="1" t="s">
        <v>743</v>
      </c>
      <c r="I914" s="397">
        <v>912</v>
      </c>
      <c r="J914" s="229">
        <v>3661</v>
      </c>
      <c r="K914" s="18" t="s">
        <v>744</v>
      </c>
      <c r="L914" s="130">
        <v>0</v>
      </c>
      <c r="M914" s="130">
        <v>0</v>
      </c>
      <c r="N914" s="131">
        <v>0</v>
      </c>
      <c r="O914" s="131">
        <f>N914/7.5345</f>
        <v>0</v>
      </c>
      <c r="P914" s="132">
        <v>800</v>
      </c>
      <c r="Q914" s="132">
        <v>800</v>
      </c>
      <c r="R914" s="159">
        <v>0</v>
      </c>
      <c r="S914" s="165" t="e">
        <f ca="1">__xlfn.XLOOKUP(H914,[1]Izvršenje_proračuna_po_pozicija!$B$2:$B$153,[1]Izvršenje_proračuna_po_pozicija!$E$2:$E$153,0)</f>
        <v>#NAME?</v>
      </c>
      <c r="T914" s="165"/>
      <c r="U914" s="165"/>
      <c r="V914" s="200">
        <v>0</v>
      </c>
      <c r="W914" s="200">
        <v>0</v>
      </c>
      <c r="X914" s="164">
        <v>500</v>
      </c>
      <c r="Y914" s="378">
        <v>500</v>
      </c>
      <c r="Z914" s="378"/>
      <c r="AA914" s="370" t="e">
        <f t="shared" ca="1" si="556"/>
        <v>#NAME?</v>
      </c>
      <c r="AB914" s="183"/>
      <c r="AC914" s="178">
        <v>1000</v>
      </c>
      <c r="AD914" s="178">
        <v>1000</v>
      </c>
      <c r="AE914" s="178"/>
      <c r="AF914" s="178"/>
      <c r="AG914" s="178"/>
      <c r="AH914" s="178"/>
      <c r="AI914" s="183"/>
      <c r="AJ914" s="378">
        <v>500</v>
      </c>
      <c r="AK914" s="171"/>
      <c r="AL914" s="171"/>
      <c r="AM914" s="171">
        <f>Y914/X914*100</f>
        <v>100</v>
      </c>
      <c r="AN914" s="165"/>
      <c r="AO914" s="193"/>
      <c r="AP914" s="193" t="e">
        <f t="shared" ca="1" si="555"/>
        <v>#NAME?</v>
      </c>
      <c r="AQ914" s="200"/>
      <c r="AR914" s="204"/>
      <c r="AS914" s="204"/>
      <c r="AT914" s="204"/>
      <c r="AU914" s="204"/>
      <c r="AV914" s="204"/>
    </row>
    <row r="915" spans="1:48" ht="12" customHeight="1">
      <c r="A915" s="53"/>
      <c r="B915" s="53"/>
      <c r="C915" s="53"/>
      <c r="D915" s="53"/>
      <c r="E915" s="53"/>
      <c r="F915" s="53"/>
      <c r="G915" s="53"/>
      <c r="H915" s="1"/>
      <c r="I915" s="397"/>
      <c r="J915" s="229"/>
      <c r="K915" s="18"/>
      <c r="L915" s="130"/>
      <c r="M915" s="130"/>
      <c r="N915" s="131"/>
      <c r="O915" s="131"/>
      <c r="P915" s="132"/>
      <c r="Q915" s="132"/>
      <c r="R915" s="159"/>
      <c r="S915" s="165" t="e">
        <f ca="1">__xlfn.XLOOKUP(H915,[1]Izvršenje_proračuna_po_pozicija!$B$2:$B$153,[1]Izvršenje_proračuna_po_pozicija!$E$2:$E$153,0)</f>
        <v>#NAME?</v>
      </c>
      <c r="T915" s="165"/>
      <c r="U915" s="165"/>
      <c r="V915" s="200"/>
      <c r="W915" s="200"/>
      <c r="X915" s="164"/>
      <c r="Y915" s="378"/>
      <c r="Z915" s="378"/>
      <c r="AA915" s="370" t="e">
        <f t="shared" ca="1" si="556"/>
        <v>#NAME?</v>
      </c>
      <c r="AB915" s="183"/>
      <c r="AC915" s="178"/>
      <c r="AD915" s="178"/>
      <c r="AE915" s="178"/>
      <c r="AF915" s="178"/>
      <c r="AG915" s="178"/>
      <c r="AH915" s="178"/>
      <c r="AI915" s="183"/>
      <c r="AJ915" s="378"/>
      <c r="AK915" s="171"/>
      <c r="AL915" s="171"/>
      <c r="AM915" s="171"/>
      <c r="AN915" s="165"/>
      <c r="AO915" s="193"/>
      <c r="AP915" s="193" t="e">
        <f t="shared" ca="1" si="555"/>
        <v>#NAME?</v>
      </c>
      <c r="AQ915" s="200"/>
      <c r="AR915" s="204"/>
      <c r="AS915" s="204"/>
      <c r="AT915" s="204"/>
      <c r="AU915" s="204"/>
      <c r="AV915" s="204"/>
    </row>
    <row r="916" spans="1:48" ht="12" customHeight="1">
      <c r="A916" s="301"/>
      <c r="B916" s="301"/>
      <c r="C916" s="301"/>
      <c r="D916" s="301"/>
      <c r="E916" s="301"/>
      <c r="F916" s="301"/>
      <c r="G916" s="301"/>
      <c r="H916" s="307"/>
      <c r="I916" s="350"/>
      <c r="J916" s="302">
        <v>38</v>
      </c>
      <c r="K916" s="343" t="s">
        <v>285</v>
      </c>
      <c r="L916" s="112">
        <f t="shared" ref="L916:AD917" si="580">L917</f>
        <v>0</v>
      </c>
      <c r="M916" s="112">
        <f t="shared" si="580"/>
        <v>0</v>
      </c>
      <c r="N916" s="113">
        <f t="shared" si="580"/>
        <v>0</v>
      </c>
      <c r="O916" s="113">
        <f t="shared" si="580"/>
        <v>0</v>
      </c>
      <c r="P916" s="114">
        <f t="shared" si="580"/>
        <v>0</v>
      </c>
      <c r="Q916" s="114">
        <f t="shared" si="580"/>
        <v>0</v>
      </c>
      <c r="R916" s="88">
        <f t="shared" si="580"/>
        <v>0</v>
      </c>
      <c r="S916" s="90" t="e">
        <f t="shared" ca="1" si="580"/>
        <v>#NAME?</v>
      </c>
      <c r="T916" s="90"/>
      <c r="U916" s="90"/>
      <c r="V916" s="200">
        <f>V917</f>
        <v>0</v>
      </c>
      <c r="W916" s="200">
        <f t="shared" si="580"/>
        <v>0</v>
      </c>
      <c r="X916" s="88">
        <f t="shared" si="580"/>
        <v>0</v>
      </c>
      <c r="Y916" s="171">
        <f t="shared" si="580"/>
        <v>0</v>
      </c>
      <c r="Z916" s="171">
        <f t="shared" si="580"/>
        <v>0</v>
      </c>
      <c r="AA916" s="370" t="e">
        <f t="shared" ca="1" si="556"/>
        <v>#NAME?</v>
      </c>
      <c r="AB916" s="171"/>
      <c r="AC916" s="172">
        <f t="shared" si="580"/>
        <v>0</v>
      </c>
      <c r="AD916" s="172">
        <f t="shared" si="580"/>
        <v>0</v>
      </c>
      <c r="AE916" s="178"/>
      <c r="AF916" s="178"/>
      <c r="AG916" s="178"/>
      <c r="AH916" s="178"/>
      <c r="AI916" s="171"/>
      <c r="AJ916" s="171">
        <v>0</v>
      </c>
      <c r="AK916" s="171"/>
      <c r="AL916" s="171"/>
      <c r="AM916" s="171"/>
      <c r="AN916" s="90"/>
      <c r="AO916" s="193"/>
      <c r="AP916" s="193" t="e">
        <f t="shared" ca="1" si="555"/>
        <v>#NAME?</v>
      </c>
      <c r="AQ916" s="200">
        <f>AQ917</f>
        <v>0</v>
      </c>
      <c r="AR916" s="204"/>
      <c r="AS916" s="204"/>
      <c r="AT916" s="204"/>
      <c r="AU916" s="204"/>
      <c r="AV916" s="204"/>
    </row>
    <row r="917" spans="1:48" ht="12" customHeight="1">
      <c r="A917" s="62"/>
      <c r="B917" s="62"/>
      <c r="C917" s="62"/>
      <c r="D917" s="62"/>
      <c r="E917" s="62"/>
      <c r="F917" s="62"/>
      <c r="G917" s="62"/>
      <c r="H917" s="304"/>
      <c r="I917" s="464"/>
      <c r="J917" s="303">
        <v>381</v>
      </c>
      <c r="K917" s="19" t="s">
        <v>407</v>
      </c>
      <c r="L917" s="112">
        <f t="shared" si="580"/>
        <v>0</v>
      </c>
      <c r="M917" s="112">
        <f t="shared" si="580"/>
        <v>0</v>
      </c>
      <c r="N917" s="113">
        <f t="shared" si="580"/>
        <v>0</v>
      </c>
      <c r="O917" s="113">
        <f t="shared" si="580"/>
        <v>0</v>
      </c>
      <c r="P917" s="114">
        <f t="shared" si="580"/>
        <v>0</v>
      </c>
      <c r="Q917" s="114">
        <f t="shared" si="580"/>
        <v>0</v>
      </c>
      <c r="R917" s="88">
        <f t="shared" si="580"/>
        <v>0</v>
      </c>
      <c r="S917" s="90" t="e">
        <f t="shared" ca="1" si="580"/>
        <v>#NAME?</v>
      </c>
      <c r="T917" s="90"/>
      <c r="U917" s="90"/>
      <c r="V917" s="200">
        <f>V918</f>
        <v>0</v>
      </c>
      <c r="W917" s="200">
        <f t="shared" si="580"/>
        <v>0</v>
      </c>
      <c r="X917" s="88">
        <f t="shared" si="580"/>
        <v>0</v>
      </c>
      <c r="Y917" s="171">
        <f t="shared" si="580"/>
        <v>0</v>
      </c>
      <c r="Z917" s="171">
        <f t="shared" si="580"/>
        <v>0</v>
      </c>
      <c r="AA917" s="370" t="e">
        <f t="shared" ca="1" si="556"/>
        <v>#NAME?</v>
      </c>
      <c r="AB917" s="171"/>
      <c r="AC917" s="172">
        <f t="shared" si="580"/>
        <v>0</v>
      </c>
      <c r="AD917" s="172">
        <f t="shared" si="580"/>
        <v>0</v>
      </c>
      <c r="AE917" s="178"/>
      <c r="AF917" s="178"/>
      <c r="AG917" s="178"/>
      <c r="AH917" s="178"/>
      <c r="AI917" s="171"/>
      <c r="AJ917" s="171">
        <v>0</v>
      </c>
      <c r="AK917" s="171"/>
      <c r="AL917" s="171"/>
      <c r="AM917" s="171"/>
      <c r="AN917" s="90"/>
      <c r="AO917" s="193"/>
      <c r="AP917" s="193" t="e">
        <f t="shared" ca="1" si="555"/>
        <v>#NAME?</v>
      </c>
      <c r="AQ917" s="200">
        <f>AQ918</f>
        <v>0</v>
      </c>
      <c r="AR917" s="204"/>
      <c r="AS917" s="204"/>
      <c r="AT917" s="204"/>
      <c r="AU917" s="204"/>
      <c r="AV917" s="204"/>
    </row>
    <row r="918" spans="1:48" ht="12" customHeight="1">
      <c r="A918" s="53"/>
      <c r="B918" s="53"/>
      <c r="C918" s="53"/>
      <c r="D918" s="53"/>
      <c r="E918" s="53"/>
      <c r="F918" s="53"/>
      <c r="G918" s="53"/>
      <c r="H918" s="1"/>
      <c r="I918" s="397"/>
      <c r="J918" s="229">
        <v>3811</v>
      </c>
      <c r="K918" s="18" t="s">
        <v>286</v>
      </c>
      <c r="L918" s="112">
        <f t="shared" ref="L918:S918" si="581">L919+L920</f>
        <v>0</v>
      </c>
      <c r="M918" s="112">
        <f t="shared" si="581"/>
        <v>0</v>
      </c>
      <c r="N918" s="113">
        <f t="shared" si="581"/>
        <v>0</v>
      </c>
      <c r="O918" s="113">
        <f t="shared" si="581"/>
        <v>0</v>
      </c>
      <c r="P918" s="114">
        <f t="shared" si="581"/>
        <v>0</v>
      </c>
      <c r="Q918" s="114">
        <f t="shared" si="581"/>
        <v>0</v>
      </c>
      <c r="R918" s="88">
        <f t="shared" si="581"/>
        <v>0</v>
      </c>
      <c r="S918" s="90" t="e">
        <f t="shared" ca="1" si="581"/>
        <v>#NAME?</v>
      </c>
      <c r="T918" s="90"/>
      <c r="U918" s="90"/>
      <c r="V918" s="200">
        <f>V919+V920</f>
        <v>0</v>
      </c>
      <c r="W918" s="200">
        <f>W919+W920</f>
        <v>0</v>
      </c>
      <c r="X918" s="88">
        <f>X919+X920</f>
        <v>0</v>
      </c>
      <c r="Y918" s="171">
        <f>Y919+Y920</f>
        <v>0</v>
      </c>
      <c r="Z918" s="171">
        <f>Z919+Z920</f>
        <v>0</v>
      </c>
      <c r="AA918" s="370" t="e">
        <f t="shared" ca="1" si="556"/>
        <v>#NAME?</v>
      </c>
      <c r="AB918" s="171"/>
      <c r="AC918" s="172">
        <f>AC919+AC920</f>
        <v>0</v>
      </c>
      <c r="AD918" s="172">
        <f>AD919+AD920</f>
        <v>0</v>
      </c>
      <c r="AE918" s="178"/>
      <c r="AF918" s="178"/>
      <c r="AG918" s="178"/>
      <c r="AH918" s="178"/>
      <c r="AI918" s="171"/>
      <c r="AJ918" s="171">
        <v>0</v>
      </c>
      <c r="AK918" s="171"/>
      <c r="AL918" s="171"/>
      <c r="AM918" s="171"/>
      <c r="AN918" s="90"/>
      <c r="AO918" s="193"/>
      <c r="AP918" s="193" t="e">
        <f t="shared" ca="1" si="555"/>
        <v>#NAME?</v>
      </c>
      <c r="AQ918" s="200">
        <f>AQ919+AQ920</f>
        <v>0</v>
      </c>
      <c r="AR918" s="204"/>
      <c r="AS918" s="204"/>
      <c r="AT918" s="204"/>
      <c r="AU918" s="204"/>
      <c r="AV918" s="204"/>
    </row>
    <row r="919" spans="1:48" ht="12" customHeight="1">
      <c r="A919" s="53"/>
      <c r="B919" s="53"/>
      <c r="C919" s="53"/>
      <c r="D919" s="53"/>
      <c r="E919" s="53"/>
      <c r="F919" s="53"/>
      <c r="G919" s="53"/>
      <c r="H919" s="1">
        <v>163</v>
      </c>
      <c r="I919" s="397">
        <v>912</v>
      </c>
      <c r="J919" s="229">
        <v>3811</v>
      </c>
      <c r="K919" s="18" t="s">
        <v>741</v>
      </c>
      <c r="L919" s="130">
        <v>0</v>
      </c>
      <c r="M919" s="130">
        <v>0</v>
      </c>
      <c r="N919" s="131">
        <v>0</v>
      </c>
      <c r="O919" s="131">
        <v>0</v>
      </c>
      <c r="P919" s="132">
        <v>0</v>
      </c>
      <c r="Q919" s="132">
        <v>0</v>
      </c>
      <c r="R919" s="159">
        <v>0</v>
      </c>
      <c r="S919" s="165" t="e">
        <f ca="1">__xlfn.XLOOKUP(H919,[1]Izvršenje_proračuna_po_pozicija!$B$2:$B$153,[1]Izvršenje_proračuna_po_pozicija!$E$2:$E$153,0)</f>
        <v>#NAME?</v>
      </c>
      <c r="T919" s="165"/>
      <c r="U919" s="165"/>
      <c r="V919" s="200"/>
      <c r="W919" s="200"/>
      <c r="X919" s="164"/>
      <c r="Y919" s="378"/>
      <c r="Z919" s="378"/>
      <c r="AA919" s="370" t="e">
        <f t="shared" ca="1" si="556"/>
        <v>#NAME?</v>
      </c>
      <c r="AB919" s="183"/>
      <c r="AC919" s="178">
        <v>0</v>
      </c>
      <c r="AD919" s="178">
        <v>0</v>
      </c>
      <c r="AE919" s="178"/>
      <c r="AF919" s="178"/>
      <c r="AG919" s="178"/>
      <c r="AH919" s="178"/>
      <c r="AI919" s="183"/>
      <c r="AJ919" s="378"/>
      <c r="AK919" s="171"/>
      <c r="AL919" s="171"/>
      <c r="AM919" s="171"/>
      <c r="AN919" s="165"/>
      <c r="AO919" s="193"/>
      <c r="AP919" s="193" t="e">
        <f t="shared" ca="1" si="555"/>
        <v>#NAME?</v>
      </c>
      <c r="AQ919" s="200"/>
      <c r="AR919" s="204"/>
      <c r="AS919" s="204"/>
      <c r="AT919" s="204"/>
      <c r="AU919" s="204"/>
      <c r="AV919" s="204"/>
    </row>
    <row r="920" spans="1:48" ht="12" customHeight="1">
      <c r="A920" s="53"/>
      <c r="B920" s="53"/>
      <c r="C920" s="53"/>
      <c r="D920" s="53"/>
      <c r="E920" s="53"/>
      <c r="F920" s="53"/>
      <c r="G920" s="53"/>
      <c r="H920" s="1">
        <v>164</v>
      </c>
      <c r="I920" s="397">
        <v>920</v>
      </c>
      <c r="J920" s="229">
        <v>3811</v>
      </c>
      <c r="K920" s="18" t="s">
        <v>742</v>
      </c>
      <c r="L920" s="130">
        <v>0</v>
      </c>
      <c r="M920" s="130">
        <v>0</v>
      </c>
      <c r="N920" s="131">
        <v>0</v>
      </c>
      <c r="O920" s="131">
        <v>0</v>
      </c>
      <c r="P920" s="132">
        <v>0</v>
      </c>
      <c r="Q920" s="132">
        <v>0</v>
      </c>
      <c r="R920" s="159">
        <v>0</v>
      </c>
      <c r="S920" s="165" t="e">
        <f ca="1">__xlfn.XLOOKUP(H920,[1]Izvršenje_proračuna_po_pozicija!$B$2:$B$153,[1]Izvršenje_proračuna_po_pozicija!$E$2:$E$153,0)</f>
        <v>#NAME?</v>
      </c>
      <c r="T920" s="165"/>
      <c r="U920" s="165"/>
      <c r="V920" s="200"/>
      <c r="W920" s="200"/>
      <c r="X920" s="164"/>
      <c r="Y920" s="378"/>
      <c r="Z920" s="378"/>
      <c r="AA920" s="370" t="e">
        <f t="shared" ca="1" si="556"/>
        <v>#NAME?</v>
      </c>
      <c r="AB920" s="183"/>
      <c r="AC920" s="178">
        <v>0</v>
      </c>
      <c r="AD920" s="178">
        <v>0</v>
      </c>
      <c r="AE920" s="178"/>
      <c r="AF920" s="178"/>
      <c r="AG920" s="178"/>
      <c r="AH920" s="178"/>
      <c r="AI920" s="183"/>
      <c r="AJ920" s="378"/>
      <c r="AK920" s="171"/>
      <c r="AL920" s="171"/>
      <c r="AM920" s="171"/>
      <c r="AN920" s="165"/>
      <c r="AO920" s="193"/>
      <c r="AP920" s="193" t="e">
        <f t="shared" ca="1" si="555"/>
        <v>#NAME?</v>
      </c>
      <c r="AQ920" s="200"/>
      <c r="AR920" s="204"/>
      <c r="AS920" s="204"/>
      <c r="AT920" s="204"/>
      <c r="AU920" s="204"/>
      <c r="AV920" s="204"/>
    </row>
    <row r="921" spans="1:48" ht="12" customHeight="1">
      <c r="A921" s="53"/>
      <c r="B921" s="53"/>
      <c r="C921" s="53"/>
      <c r="D921" s="53"/>
      <c r="E921" s="53"/>
      <c r="F921" s="53"/>
      <c r="G921" s="53"/>
      <c r="H921" s="1"/>
      <c r="I921" s="397"/>
      <c r="J921" s="229"/>
      <c r="K921" s="18"/>
      <c r="L921" s="130"/>
      <c r="M921" s="130"/>
      <c r="N921" s="131"/>
      <c r="O921" s="131"/>
      <c r="P921" s="132"/>
      <c r="Q921" s="132"/>
      <c r="R921" s="159"/>
      <c r="S921" s="165" t="e">
        <f ca="1">__xlfn.XLOOKUP(H921,[1]Izvršenje_proračuna_po_pozicija!$B$2:$B$153,[1]Izvršenje_proračuna_po_pozicija!$E$2:$E$153,0)</f>
        <v>#NAME?</v>
      </c>
      <c r="T921" s="165"/>
      <c r="U921" s="165"/>
      <c r="V921" s="200"/>
      <c r="W921" s="200"/>
      <c r="X921" s="164"/>
      <c r="Y921" s="378"/>
      <c r="Z921" s="378"/>
      <c r="AA921" s="370" t="e">
        <f t="shared" ca="1" si="556"/>
        <v>#NAME?</v>
      </c>
      <c r="AB921" s="183"/>
      <c r="AC921" s="178"/>
      <c r="AD921" s="178"/>
      <c r="AE921" s="178"/>
      <c r="AF921" s="178"/>
      <c r="AG921" s="178"/>
      <c r="AH921" s="178"/>
      <c r="AI921" s="183"/>
      <c r="AJ921" s="378"/>
      <c r="AK921" s="171"/>
      <c r="AL921" s="171"/>
      <c r="AM921" s="171"/>
      <c r="AN921" s="165"/>
      <c r="AO921" s="193"/>
      <c r="AP921" s="193" t="e">
        <f t="shared" ca="1" si="555"/>
        <v>#NAME?</v>
      </c>
      <c r="AQ921" s="200"/>
      <c r="AR921" s="204"/>
      <c r="AS921" s="204"/>
      <c r="AT921" s="204"/>
      <c r="AU921" s="204"/>
      <c r="AV921" s="204"/>
    </row>
    <row r="922" spans="1:48" ht="12" customHeight="1">
      <c r="A922" s="390" t="s">
        <v>532</v>
      </c>
      <c r="B922" s="391"/>
      <c r="C922" s="391"/>
      <c r="D922" s="391"/>
      <c r="E922" s="391"/>
      <c r="F922" s="391"/>
      <c r="G922" s="391"/>
      <c r="H922" s="392"/>
      <c r="I922" s="485" t="s">
        <v>745</v>
      </c>
      <c r="J922" s="486"/>
      <c r="K922" s="300"/>
      <c r="L922" s="112">
        <f t="shared" ref="L922:S922" si="582">L924</f>
        <v>0</v>
      </c>
      <c r="M922" s="112">
        <f t="shared" si="582"/>
        <v>0</v>
      </c>
      <c r="N922" s="113">
        <f t="shared" si="582"/>
        <v>0</v>
      </c>
      <c r="O922" s="113">
        <f t="shared" si="582"/>
        <v>0</v>
      </c>
      <c r="P922" s="114">
        <f t="shared" si="582"/>
        <v>0</v>
      </c>
      <c r="Q922" s="114">
        <f t="shared" si="582"/>
        <v>0</v>
      </c>
      <c r="R922" s="88">
        <f t="shared" si="582"/>
        <v>0</v>
      </c>
      <c r="S922" s="90" t="e">
        <f t="shared" ca="1" si="582"/>
        <v>#NAME?</v>
      </c>
      <c r="T922" s="90"/>
      <c r="U922" s="90"/>
      <c r="V922" s="200">
        <f>V924</f>
        <v>0</v>
      </c>
      <c r="W922" s="200">
        <f>W924</f>
        <v>0</v>
      </c>
      <c r="X922" s="88">
        <f>X924</f>
        <v>0</v>
      </c>
      <c r="Y922" s="171">
        <f>Y924</f>
        <v>0</v>
      </c>
      <c r="Z922" s="171">
        <f>Z924</f>
        <v>0</v>
      </c>
      <c r="AA922" s="370" t="e">
        <f t="shared" ca="1" si="556"/>
        <v>#NAME?</v>
      </c>
      <c r="AB922" s="171"/>
      <c r="AC922" s="172">
        <f>AC924</f>
        <v>5000</v>
      </c>
      <c r="AD922" s="172">
        <f>AD924</f>
        <v>5000</v>
      </c>
      <c r="AE922" s="178"/>
      <c r="AF922" s="178"/>
      <c r="AG922" s="178"/>
      <c r="AH922" s="178"/>
      <c r="AI922" s="171"/>
      <c r="AJ922" s="171">
        <v>0</v>
      </c>
      <c r="AK922" s="171"/>
      <c r="AL922" s="171"/>
      <c r="AM922" s="171"/>
      <c r="AN922" s="90"/>
      <c r="AO922" s="193"/>
      <c r="AP922" s="193" t="e">
        <f t="shared" ca="1" si="555"/>
        <v>#NAME?</v>
      </c>
      <c r="AQ922" s="200">
        <f>AQ924</f>
        <v>0</v>
      </c>
      <c r="AR922" s="204"/>
      <c r="AS922" s="204"/>
      <c r="AT922" s="204"/>
      <c r="AU922" s="204"/>
      <c r="AV922" s="204"/>
    </row>
    <row r="923" spans="1:48" ht="12" customHeight="1">
      <c r="A923" s="42"/>
      <c r="B923" s="42"/>
      <c r="C923" s="42"/>
      <c r="D923" s="42"/>
      <c r="E923" s="42"/>
      <c r="F923" s="42"/>
      <c r="G923" s="42"/>
      <c r="H923" s="308"/>
      <c r="I923" s="14"/>
      <c r="J923" s="2"/>
      <c r="K923" s="84"/>
      <c r="L923" s="85">
        <v>1</v>
      </c>
      <c r="M923" s="85">
        <v>2</v>
      </c>
      <c r="N923" s="86">
        <v>3</v>
      </c>
      <c r="O923" s="86">
        <v>4</v>
      </c>
      <c r="P923" s="87">
        <v>5</v>
      </c>
      <c r="Q923" s="87">
        <v>6</v>
      </c>
      <c r="R923" s="160"/>
      <c r="S923" s="165" t="e">
        <f ca="1">__xlfn.XLOOKUP(H923,[1]Izvršenje_proračuna_po_pozicija!$B$2:$B$153,[1]Izvršenje_proračuna_po_pozicija!$E$2:$E$153,0)</f>
        <v>#NAME?</v>
      </c>
      <c r="T923" s="165"/>
      <c r="U923" s="165"/>
      <c r="V923" s="200"/>
      <c r="W923" s="200"/>
      <c r="X923" s="361"/>
      <c r="Y923" s="373"/>
      <c r="Z923" s="373"/>
      <c r="AA923" s="370" t="e">
        <f t="shared" ca="1" si="556"/>
        <v>#NAME?</v>
      </c>
      <c r="AB923" s="181"/>
      <c r="AC923" s="182">
        <v>7</v>
      </c>
      <c r="AD923" s="182">
        <v>8</v>
      </c>
      <c r="AE923" s="182">
        <v>9</v>
      </c>
      <c r="AF923" s="182">
        <v>10</v>
      </c>
      <c r="AG923" s="182">
        <v>11</v>
      </c>
      <c r="AH923" s="182">
        <v>12</v>
      </c>
      <c r="AI923" s="181"/>
      <c r="AJ923" s="373"/>
      <c r="AK923" s="171"/>
      <c r="AL923" s="171"/>
      <c r="AM923" s="171"/>
      <c r="AN923" s="161"/>
      <c r="AO923" s="193"/>
      <c r="AP923" s="193" t="e">
        <f t="shared" ca="1" si="555"/>
        <v>#NAME?</v>
      </c>
      <c r="AQ923" s="200"/>
      <c r="AR923" s="204"/>
      <c r="AS923" s="204"/>
      <c r="AT923" s="204"/>
      <c r="AU923" s="204"/>
      <c r="AV923" s="204"/>
    </row>
    <row r="924" spans="1:48" ht="12" customHeight="1">
      <c r="A924" s="24"/>
      <c r="B924" s="24"/>
      <c r="C924" s="24"/>
      <c r="D924" s="24"/>
      <c r="E924" s="24"/>
      <c r="F924" s="24"/>
      <c r="G924" s="24"/>
      <c r="H924" s="393"/>
      <c r="I924" s="465"/>
      <c r="J924" s="281">
        <v>3</v>
      </c>
      <c r="K924" s="2" t="s">
        <v>224</v>
      </c>
      <c r="L924" s="112">
        <f t="shared" ref="L924:S927" si="583">L925</f>
        <v>0</v>
      </c>
      <c r="M924" s="112">
        <f t="shared" si="583"/>
        <v>0</v>
      </c>
      <c r="N924" s="113">
        <f t="shared" si="583"/>
        <v>0</v>
      </c>
      <c r="O924" s="113">
        <f t="shared" si="583"/>
        <v>0</v>
      </c>
      <c r="P924" s="114">
        <f t="shared" si="583"/>
        <v>0</v>
      </c>
      <c r="Q924" s="114">
        <f t="shared" si="583"/>
        <v>0</v>
      </c>
      <c r="R924" s="88">
        <f t="shared" si="583"/>
        <v>0</v>
      </c>
      <c r="S924" s="90" t="e">
        <f t="shared" ca="1" si="583"/>
        <v>#NAME?</v>
      </c>
      <c r="T924" s="90"/>
      <c r="U924" s="90"/>
      <c r="V924" s="200">
        <f>V925</f>
        <v>0</v>
      </c>
      <c r="W924" s="200">
        <f t="shared" ref="W924:Z927" si="584">W925</f>
        <v>0</v>
      </c>
      <c r="X924" s="88">
        <f t="shared" si="584"/>
        <v>0</v>
      </c>
      <c r="Y924" s="171">
        <f t="shared" si="584"/>
        <v>0</v>
      </c>
      <c r="Z924" s="171">
        <f t="shared" si="584"/>
        <v>0</v>
      </c>
      <c r="AA924" s="370" t="e">
        <f t="shared" ca="1" si="556"/>
        <v>#NAME?</v>
      </c>
      <c r="AB924" s="171"/>
      <c r="AC924" s="172">
        <f t="shared" ref="AC924:AD927" si="585">AC925</f>
        <v>5000</v>
      </c>
      <c r="AD924" s="172">
        <f t="shared" si="585"/>
        <v>5000</v>
      </c>
      <c r="AE924" s="178"/>
      <c r="AF924" s="178"/>
      <c r="AG924" s="178"/>
      <c r="AH924" s="178"/>
      <c r="AI924" s="171"/>
      <c r="AJ924" s="171">
        <v>0</v>
      </c>
      <c r="AK924" s="171"/>
      <c r="AL924" s="171"/>
      <c r="AM924" s="171"/>
      <c r="AN924" s="90"/>
      <c r="AO924" s="193"/>
      <c r="AP924" s="193" t="e">
        <f t="shared" ca="1" si="555"/>
        <v>#NAME?</v>
      </c>
      <c r="AQ924" s="200">
        <f>AQ925</f>
        <v>0</v>
      </c>
      <c r="AR924" s="204"/>
      <c r="AS924" s="204"/>
      <c r="AT924" s="204"/>
      <c r="AU924" s="204"/>
      <c r="AV924" s="204"/>
    </row>
    <row r="925" spans="1:48" ht="12" customHeight="1">
      <c r="A925" s="301"/>
      <c r="B925" s="301"/>
      <c r="C925" s="301"/>
      <c r="D925" s="301"/>
      <c r="E925" s="301"/>
      <c r="F925" s="301"/>
      <c r="G925" s="301"/>
      <c r="H925" s="307"/>
      <c r="I925" s="350"/>
      <c r="J925" s="302">
        <v>36</v>
      </c>
      <c r="K925" s="343" t="s">
        <v>738</v>
      </c>
      <c r="L925" s="112">
        <f t="shared" si="583"/>
        <v>0</v>
      </c>
      <c r="M925" s="112">
        <f t="shared" si="583"/>
        <v>0</v>
      </c>
      <c r="N925" s="113">
        <f t="shared" si="583"/>
        <v>0</v>
      </c>
      <c r="O925" s="113">
        <f t="shared" si="583"/>
        <v>0</v>
      </c>
      <c r="P925" s="114">
        <f t="shared" si="583"/>
        <v>0</v>
      </c>
      <c r="Q925" s="114">
        <f t="shared" si="583"/>
        <v>0</v>
      </c>
      <c r="R925" s="88">
        <f t="shared" si="583"/>
        <v>0</v>
      </c>
      <c r="S925" s="90" t="e">
        <f t="shared" ca="1" si="583"/>
        <v>#NAME?</v>
      </c>
      <c r="T925" s="90"/>
      <c r="U925" s="90"/>
      <c r="V925" s="200">
        <f>V926</f>
        <v>0</v>
      </c>
      <c r="W925" s="200">
        <f t="shared" si="584"/>
        <v>0</v>
      </c>
      <c r="X925" s="88">
        <f t="shared" si="584"/>
        <v>0</v>
      </c>
      <c r="Y925" s="171">
        <f t="shared" si="584"/>
        <v>0</v>
      </c>
      <c r="Z925" s="171">
        <f t="shared" si="584"/>
        <v>0</v>
      </c>
      <c r="AA925" s="370" t="e">
        <f t="shared" ca="1" si="556"/>
        <v>#NAME?</v>
      </c>
      <c r="AB925" s="171"/>
      <c r="AC925" s="172">
        <f t="shared" si="585"/>
        <v>5000</v>
      </c>
      <c r="AD925" s="172">
        <f t="shared" si="585"/>
        <v>5000</v>
      </c>
      <c r="AE925" s="178"/>
      <c r="AF925" s="178"/>
      <c r="AG925" s="178"/>
      <c r="AH925" s="178"/>
      <c r="AI925" s="171"/>
      <c r="AJ925" s="171">
        <v>0</v>
      </c>
      <c r="AK925" s="171"/>
      <c r="AL925" s="171"/>
      <c r="AM925" s="171"/>
      <c r="AN925" s="90"/>
      <c r="AO925" s="193"/>
      <c r="AP925" s="193" t="e">
        <f t="shared" ca="1" si="555"/>
        <v>#NAME?</v>
      </c>
      <c r="AQ925" s="200">
        <f>AQ926</f>
        <v>0</v>
      </c>
      <c r="AR925" s="204"/>
      <c r="AS925" s="204"/>
      <c r="AT925" s="204"/>
      <c r="AU925" s="204"/>
      <c r="AV925" s="204"/>
    </row>
    <row r="926" spans="1:48" ht="12" customHeight="1">
      <c r="A926" s="62"/>
      <c r="B926" s="62"/>
      <c r="C926" s="62"/>
      <c r="D926" s="62"/>
      <c r="E926" s="62"/>
      <c r="F926" s="62"/>
      <c r="G926" s="62"/>
      <c r="H926" s="304"/>
      <c r="I926" s="464"/>
      <c r="J926" s="303">
        <v>366</v>
      </c>
      <c r="K926" s="19" t="s">
        <v>739</v>
      </c>
      <c r="L926" s="112">
        <f t="shared" si="583"/>
        <v>0</v>
      </c>
      <c r="M926" s="112">
        <f t="shared" si="583"/>
        <v>0</v>
      </c>
      <c r="N926" s="113">
        <f t="shared" si="583"/>
        <v>0</v>
      </c>
      <c r="O926" s="113">
        <f t="shared" si="583"/>
        <v>0</v>
      </c>
      <c r="P926" s="114">
        <f t="shared" si="583"/>
        <v>0</v>
      </c>
      <c r="Q926" s="114">
        <f t="shared" si="583"/>
        <v>0</v>
      </c>
      <c r="R926" s="88">
        <f t="shared" si="583"/>
        <v>0</v>
      </c>
      <c r="S926" s="90" t="e">
        <f t="shared" ca="1" si="583"/>
        <v>#NAME?</v>
      </c>
      <c r="T926" s="90"/>
      <c r="U926" s="90"/>
      <c r="V926" s="200">
        <f>V927</f>
        <v>0</v>
      </c>
      <c r="W926" s="200">
        <f t="shared" si="584"/>
        <v>0</v>
      </c>
      <c r="X926" s="88">
        <f t="shared" si="584"/>
        <v>0</v>
      </c>
      <c r="Y926" s="171">
        <f t="shared" si="584"/>
        <v>0</v>
      </c>
      <c r="Z926" s="171">
        <f t="shared" si="584"/>
        <v>0</v>
      </c>
      <c r="AA926" s="370" t="e">
        <f t="shared" ca="1" si="556"/>
        <v>#NAME?</v>
      </c>
      <c r="AB926" s="171"/>
      <c r="AC926" s="172">
        <f t="shared" si="585"/>
        <v>5000</v>
      </c>
      <c r="AD926" s="172">
        <f t="shared" si="585"/>
        <v>5000</v>
      </c>
      <c r="AE926" s="178"/>
      <c r="AF926" s="178"/>
      <c r="AG926" s="178"/>
      <c r="AH926" s="178"/>
      <c r="AI926" s="171"/>
      <c r="AJ926" s="171">
        <v>0</v>
      </c>
      <c r="AK926" s="171"/>
      <c r="AL926" s="171"/>
      <c r="AM926" s="171"/>
      <c r="AN926" s="90"/>
      <c r="AO926" s="193"/>
      <c r="AP926" s="193" t="e">
        <f t="shared" ca="1" si="555"/>
        <v>#NAME?</v>
      </c>
      <c r="AQ926" s="200">
        <f>AQ927</f>
        <v>0</v>
      </c>
      <c r="AR926" s="204"/>
      <c r="AS926" s="204"/>
      <c r="AT926" s="204"/>
      <c r="AU926" s="204"/>
      <c r="AV926" s="204"/>
    </row>
    <row r="927" spans="1:48" ht="12" customHeight="1">
      <c r="A927" s="53"/>
      <c r="B927" s="53"/>
      <c r="C927" s="53"/>
      <c r="D927" s="53"/>
      <c r="E927" s="53"/>
      <c r="F927" s="53"/>
      <c r="G927" s="53"/>
      <c r="H927" s="1"/>
      <c r="I927" s="397"/>
      <c r="J927" s="229">
        <v>3662</v>
      </c>
      <c r="K927" s="18" t="s">
        <v>280</v>
      </c>
      <c r="L927" s="112">
        <f t="shared" si="583"/>
        <v>0</v>
      </c>
      <c r="M927" s="112">
        <f t="shared" si="583"/>
        <v>0</v>
      </c>
      <c r="N927" s="113">
        <f t="shared" si="583"/>
        <v>0</v>
      </c>
      <c r="O927" s="113">
        <f t="shared" si="583"/>
        <v>0</v>
      </c>
      <c r="P927" s="114">
        <f t="shared" si="583"/>
        <v>0</v>
      </c>
      <c r="Q927" s="114">
        <f t="shared" si="583"/>
        <v>0</v>
      </c>
      <c r="R927" s="88">
        <f t="shared" si="583"/>
        <v>0</v>
      </c>
      <c r="S927" s="90" t="e">
        <f t="shared" ca="1" si="583"/>
        <v>#NAME?</v>
      </c>
      <c r="T927" s="90"/>
      <c r="U927" s="90"/>
      <c r="V927" s="200">
        <f>V928</f>
        <v>0</v>
      </c>
      <c r="W927" s="200">
        <f t="shared" si="584"/>
        <v>0</v>
      </c>
      <c r="X927" s="88">
        <f t="shared" si="584"/>
        <v>0</v>
      </c>
      <c r="Y927" s="171">
        <f t="shared" si="584"/>
        <v>0</v>
      </c>
      <c r="Z927" s="171">
        <f t="shared" si="584"/>
        <v>0</v>
      </c>
      <c r="AA927" s="370" t="e">
        <f t="shared" ca="1" si="556"/>
        <v>#NAME?</v>
      </c>
      <c r="AB927" s="171"/>
      <c r="AC927" s="172">
        <f t="shared" si="585"/>
        <v>5000</v>
      </c>
      <c r="AD927" s="172">
        <f t="shared" si="585"/>
        <v>5000</v>
      </c>
      <c r="AE927" s="178"/>
      <c r="AF927" s="178"/>
      <c r="AG927" s="178"/>
      <c r="AH927" s="178"/>
      <c r="AI927" s="171"/>
      <c r="AJ927" s="171">
        <v>0</v>
      </c>
      <c r="AK927" s="171"/>
      <c r="AL927" s="171"/>
      <c r="AM927" s="171"/>
      <c r="AN927" s="90"/>
      <c r="AO927" s="193"/>
      <c r="AP927" s="193" t="e">
        <f t="shared" ref="AP927:AP990" ca="1" si="586">__xlfn.ISFORMULA(X927)</f>
        <v>#NAME?</v>
      </c>
      <c r="AQ927" s="200">
        <f>AQ928</f>
        <v>0</v>
      </c>
      <c r="AR927" s="204"/>
      <c r="AS927" s="204"/>
      <c r="AT927" s="204"/>
      <c r="AU927" s="204"/>
      <c r="AV927" s="204"/>
    </row>
    <row r="928" spans="1:48" ht="12" customHeight="1">
      <c r="A928" s="53"/>
      <c r="B928" s="53"/>
      <c r="C928" s="53"/>
      <c r="D928" s="53"/>
      <c r="E928" s="53"/>
      <c r="F928" s="53"/>
      <c r="G928" s="53"/>
      <c r="H928" s="1" t="s">
        <v>746</v>
      </c>
      <c r="I928" s="397">
        <v>920</v>
      </c>
      <c r="J928" s="229">
        <v>3662</v>
      </c>
      <c r="K928" s="18" t="s">
        <v>747</v>
      </c>
      <c r="L928" s="130">
        <v>0</v>
      </c>
      <c r="M928" s="130">
        <v>0</v>
      </c>
      <c r="N928" s="131">
        <v>0</v>
      </c>
      <c r="O928" s="131">
        <v>0</v>
      </c>
      <c r="P928" s="132">
        <v>0</v>
      </c>
      <c r="Q928" s="132">
        <v>0</v>
      </c>
      <c r="R928" s="159">
        <v>0</v>
      </c>
      <c r="S928" s="165" t="e">
        <f ca="1">__xlfn.XLOOKUP(H928,[1]Izvršenje_proračuna_po_pozicija!$B$2:$B$153,[1]Izvršenje_proračuna_po_pozicija!$E$2:$E$153,0)</f>
        <v>#NAME?</v>
      </c>
      <c r="T928" s="165"/>
      <c r="U928" s="165"/>
      <c r="V928" s="200"/>
      <c r="W928" s="200"/>
      <c r="X928" s="164"/>
      <c r="Y928" s="378"/>
      <c r="Z928" s="378"/>
      <c r="AA928" s="370" t="e">
        <f t="shared" ca="1" si="556"/>
        <v>#NAME?</v>
      </c>
      <c r="AB928" s="183"/>
      <c r="AC928" s="178">
        <v>5000</v>
      </c>
      <c r="AD928" s="178">
        <v>5000</v>
      </c>
      <c r="AE928" s="178"/>
      <c r="AF928" s="178"/>
      <c r="AG928" s="178"/>
      <c r="AH928" s="178"/>
      <c r="AI928" s="183"/>
      <c r="AJ928" s="378"/>
      <c r="AK928" s="171"/>
      <c r="AL928" s="171"/>
      <c r="AM928" s="171"/>
      <c r="AN928" s="165"/>
      <c r="AO928" s="193"/>
      <c r="AP928" s="193" t="e">
        <f t="shared" ca="1" si="586"/>
        <v>#NAME?</v>
      </c>
      <c r="AQ928" s="200"/>
      <c r="AR928" s="204"/>
      <c r="AS928" s="204"/>
      <c r="AT928" s="204"/>
      <c r="AU928" s="204"/>
      <c r="AV928" s="204"/>
    </row>
    <row r="929" spans="1:48" ht="12" customHeight="1">
      <c r="A929" s="42"/>
      <c r="B929" s="42"/>
      <c r="C929" s="42"/>
      <c r="D929" s="42"/>
      <c r="E929" s="42"/>
      <c r="F929" s="42"/>
      <c r="G929" s="42"/>
      <c r="H929" s="308"/>
      <c r="I929" s="14"/>
      <c r="J929" s="2"/>
      <c r="K929" s="84"/>
      <c r="L929" s="85"/>
      <c r="M929" s="85"/>
      <c r="N929" s="86"/>
      <c r="O929" s="86"/>
      <c r="P929" s="87"/>
      <c r="Q929" s="87"/>
      <c r="R929" s="160"/>
      <c r="S929" s="165" t="e">
        <f ca="1">__xlfn.XLOOKUP(H929,[1]Izvršenje_proračuna_po_pozicija!$B$2:$B$153,[1]Izvršenje_proračuna_po_pozicija!$E$2:$E$153,0)</f>
        <v>#NAME?</v>
      </c>
      <c r="T929" s="165"/>
      <c r="U929" s="165"/>
      <c r="V929" s="200"/>
      <c r="W929" s="200"/>
      <c r="X929" s="361"/>
      <c r="Y929" s="373"/>
      <c r="Z929" s="373"/>
      <c r="AA929" s="370" t="e">
        <f t="shared" ref="AA929:AA992" ca="1" si="587">__xlfn.ISFORMULA(R929)</f>
        <v>#NAME?</v>
      </c>
      <c r="AB929" s="181"/>
      <c r="AC929" s="182"/>
      <c r="AD929" s="182"/>
      <c r="AE929" s="178"/>
      <c r="AF929" s="178"/>
      <c r="AG929" s="178"/>
      <c r="AH929" s="178"/>
      <c r="AI929" s="181"/>
      <c r="AJ929" s="373"/>
      <c r="AK929" s="171"/>
      <c r="AL929" s="171"/>
      <c r="AM929" s="171"/>
      <c r="AN929" s="161"/>
      <c r="AO929" s="193"/>
      <c r="AP929" s="193" t="e">
        <f t="shared" ca="1" si="586"/>
        <v>#NAME?</v>
      </c>
      <c r="AQ929" s="200"/>
      <c r="AR929" s="204"/>
      <c r="AS929" s="204"/>
      <c r="AT929" s="204"/>
      <c r="AU929" s="204"/>
      <c r="AV929" s="204"/>
    </row>
    <row r="930" spans="1:48" ht="12" customHeight="1">
      <c r="A930" s="437"/>
      <c r="B930" s="437"/>
      <c r="C930" s="437"/>
      <c r="D930" s="437"/>
      <c r="E930" s="437"/>
      <c r="F930" s="437"/>
      <c r="G930" s="437"/>
      <c r="H930" s="438"/>
      <c r="I930" s="489" t="s">
        <v>748</v>
      </c>
      <c r="J930" s="490"/>
      <c r="K930" s="297"/>
      <c r="L930" s="112">
        <f t="shared" ref="L930:S930" si="588">L931+L947+L963</f>
        <v>856840</v>
      </c>
      <c r="M930" s="112">
        <f t="shared" si="588"/>
        <v>113722.21116198818</v>
      </c>
      <c r="N930" s="113">
        <f t="shared" si="588"/>
        <v>1118301</v>
      </c>
      <c r="O930" s="113">
        <f t="shared" si="588"/>
        <v>148424.04937288471</v>
      </c>
      <c r="P930" s="114">
        <f t="shared" si="588"/>
        <v>164620</v>
      </c>
      <c r="Q930" s="114">
        <f t="shared" si="588"/>
        <v>175920</v>
      </c>
      <c r="R930" s="88">
        <f t="shared" si="588"/>
        <v>170696</v>
      </c>
      <c r="S930" s="90" t="e">
        <f t="shared" ca="1" si="588"/>
        <v>#NAME?</v>
      </c>
      <c r="T930" s="90"/>
      <c r="U930" s="90"/>
      <c r="V930" s="200">
        <f>V931+V947+V963</f>
        <v>204000</v>
      </c>
      <c r="W930" s="200">
        <f>W931+W947+W963</f>
        <v>212000</v>
      </c>
      <c r="X930" s="88">
        <f>X931+X947+X963</f>
        <v>258200</v>
      </c>
      <c r="Y930" s="171">
        <f>Y931+Y947+Y963</f>
        <v>300000</v>
      </c>
      <c r="Z930" s="171">
        <f>Z931+Z947+Z963</f>
        <v>0</v>
      </c>
      <c r="AA930" s="370" t="e">
        <f t="shared" ca="1" si="587"/>
        <v>#NAME?</v>
      </c>
      <c r="AB930" s="171"/>
      <c r="AC930" s="172">
        <f>AC931+AC947+AC963</f>
        <v>171000</v>
      </c>
      <c r="AD930" s="172">
        <f>AD931+AD947+AD963</f>
        <v>171000</v>
      </c>
      <c r="AE930" s="178">
        <f>O930/M930*100</f>
        <v>130.51456514635171</v>
      </c>
      <c r="AF930" s="178">
        <f>P930/O930*100</f>
        <v>110.91194499513102</v>
      </c>
      <c r="AG930" s="178">
        <f>Q930/P930*100</f>
        <v>106.86429352448062</v>
      </c>
      <c r="AH930" s="178">
        <f>AC930/Q930*100</f>
        <v>97.203274215552526</v>
      </c>
      <c r="AI930" s="171"/>
      <c r="AJ930" s="171">
        <v>300000</v>
      </c>
      <c r="AK930" s="171">
        <f t="shared" ref="AK930:AK978" si="589">W930/R930*100</f>
        <v>124.19740357126119</v>
      </c>
      <c r="AL930" s="171">
        <f t="shared" ref="AL930:AM978" si="590">X930/W930*100</f>
        <v>121.79245283018867</v>
      </c>
      <c r="AM930" s="171">
        <f t="shared" si="590"/>
        <v>116.18900077459332</v>
      </c>
      <c r="AN930" s="90"/>
      <c r="AO930" s="193"/>
      <c r="AP930" s="193" t="e">
        <f t="shared" ca="1" si="586"/>
        <v>#NAME?</v>
      </c>
      <c r="AQ930" s="200">
        <f>AQ931+AQ947+AQ963</f>
        <v>183238.14</v>
      </c>
      <c r="AR930" s="204">
        <f t="shared" ref="AR930:AR993" si="591">V930/R930*100</f>
        <v>119.51070909687398</v>
      </c>
      <c r="AS930" s="204">
        <f t="shared" ref="AS930:AS993" si="592">W930/V930*100</f>
        <v>103.92156862745099</v>
      </c>
      <c r="AT930" s="204">
        <f t="shared" ref="AT930:AT993" si="593">W930/R930*100</f>
        <v>124.19740357126119</v>
      </c>
      <c r="AU930" s="204">
        <f t="shared" ref="AU930:AU993" si="594">AQ930/W930*100</f>
        <v>86.43308490566038</v>
      </c>
      <c r="AV930" s="204">
        <f t="shared" ref="AV930:AV993" si="595">AQ930/R930*100</f>
        <v>107.34764727937387</v>
      </c>
    </row>
    <row r="931" spans="1:48" ht="12" customHeight="1">
      <c r="A931" s="390" t="s">
        <v>331</v>
      </c>
      <c r="B931" s="391"/>
      <c r="C931" s="391"/>
      <c r="D931" s="391"/>
      <c r="E931" s="391"/>
      <c r="F931" s="391"/>
      <c r="G931" s="391"/>
      <c r="H931" s="392"/>
      <c r="I931" s="485" t="s">
        <v>749</v>
      </c>
      <c r="J931" s="486"/>
      <c r="K931" s="300"/>
      <c r="L931" s="112">
        <f t="shared" ref="L931:S931" si="596">L933</f>
        <v>731840</v>
      </c>
      <c r="M931" s="112">
        <f t="shared" si="596"/>
        <v>97131.86011015992</v>
      </c>
      <c r="N931" s="113">
        <f t="shared" si="596"/>
        <v>988301</v>
      </c>
      <c r="O931" s="113">
        <f t="shared" si="596"/>
        <v>131170.08427898333</v>
      </c>
      <c r="P931" s="114">
        <f t="shared" si="596"/>
        <v>146700</v>
      </c>
      <c r="Q931" s="114">
        <f t="shared" si="596"/>
        <v>158000</v>
      </c>
      <c r="R931" s="88">
        <f t="shared" si="596"/>
        <v>153896</v>
      </c>
      <c r="S931" s="90" t="e">
        <f t="shared" ca="1" si="596"/>
        <v>#NAME?</v>
      </c>
      <c r="T931" s="90"/>
      <c r="U931" s="90"/>
      <c r="V931" s="200">
        <f>V933</f>
        <v>183500</v>
      </c>
      <c r="W931" s="200">
        <f>W933</f>
        <v>183500</v>
      </c>
      <c r="X931" s="88">
        <f>X933</f>
        <v>234000</v>
      </c>
      <c r="Y931" s="171">
        <f>Y933</f>
        <v>273000</v>
      </c>
      <c r="Z931" s="171">
        <f>Z933</f>
        <v>0</v>
      </c>
      <c r="AA931" s="370" t="e">
        <f t="shared" ca="1" si="587"/>
        <v>#NAME?</v>
      </c>
      <c r="AB931" s="171"/>
      <c r="AC931" s="172">
        <f>AC933</f>
        <v>152000</v>
      </c>
      <c r="AD931" s="172">
        <f>AD933</f>
        <v>152000</v>
      </c>
      <c r="AE931" s="178">
        <f>O931/M931*100</f>
        <v>135.04331547879318</v>
      </c>
      <c r="AF931" s="178">
        <f>P931/O931*100</f>
        <v>111.83952561011272</v>
      </c>
      <c r="AG931" s="178">
        <f>Q931/P931*100</f>
        <v>107.70279481935923</v>
      </c>
      <c r="AH931" s="178">
        <f>AC931/Q931*100</f>
        <v>96.202531645569621</v>
      </c>
      <c r="AI931" s="171"/>
      <c r="AJ931" s="171">
        <v>273000</v>
      </c>
      <c r="AK931" s="171">
        <f t="shared" si="589"/>
        <v>119.23636741695691</v>
      </c>
      <c r="AL931" s="171">
        <f t="shared" si="590"/>
        <v>127.52043596730245</v>
      </c>
      <c r="AM931" s="171">
        <f t="shared" si="590"/>
        <v>116.66666666666667</v>
      </c>
      <c r="AN931" s="90"/>
      <c r="AO931" s="193"/>
      <c r="AP931" s="193" t="e">
        <f t="shared" ca="1" si="586"/>
        <v>#NAME?</v>
      </c>
      <c r="AQ931" s="200">
        <f>AQ933</f>
        <v>154738.14000000001</v>
      </c>
      <c r="AR931" s="204">
        <f t="shared" si="591"/>
        <v>119.23636741695691</v>
      </c>
      <c r="AS931" s="204">
        <f t="shared" si="592"/>
        <v>100</v>
      </c>
      <c r="AT931" s="204">
        <f t="shared" si="593"/>
        <v>119.23636741695691</v>
      </c>
      <c r="AU931" s="204">
        <f t="shared" si="594"/>
        <v>84.325961852861042</v>
      </c>
      <c r="AV931" s="204">
        <f t="shared" si="595"/>
        <v>100.54721370276032</v>
      </c>
    </row>
    <row r="932" spans="1:48" ht="12" customHeight="1">
      <c r="A932" s="42"/>
      <c r="B932" s="42"/>
      <c r="C932" s="42"/>
      <c r="D932" s="42"/>
      <c r="E932" s="42"/>
      <c r="F932" s="42"/>
      <c r="G932" s="42"/>
      <c r="H932" s="308"/>
      <c r="I932" s="14"/>
      <c r="J932" s="2"/>
      <c r="K932" s="281"/>
      <c r="L932" s="85"/>
      <c r="M932" s="85"/>
      <c r="N932" s="86"/>
      <c r="O932" s="86"/>
      <c r="P932" s="87"/>
      <c r="Q932" s="87"/>
      <c r="R932" s="160"/>
      <c r="S932" s="165" t="e">
        <f ca="1">__xlfn.XLOOKUP(H932,[1]Izvršenje_proračuna_po_pozicija!$B$2:$B$153,[1]Izvršenje_proračuna_po_pozicija!$E$2:$E$153,0)</f>
        <v>#NAME?</v>
      </c>
      <c r="T932" s="165"/>
      <c r="U932" s="165"/>
      <c r="V932" s="200"/>
      <c r="W932" s="200"/>
      <c r="X932" s="361"/>
      <c r="Y932" s="373"/>
      <c r="Z932" s="373"/>
      <c r="AA932" s="370" t="e">
        <f t="shared" ca="1" si="587"/>
        <v>#NAME?</v>
      </c>
      <c r="AB932" s="181"/>
      <c r="AC932" s="182"/>
      <c r="AD932" s="182"/>
      <c r="AE932" s="178"/>
      <c r="AF932" s="178"/>
      <c r="AG932" s="178"/>
      <c r="AH932" s="178"/>
      <c r="AI932" s="181"/>
      <c r="AJ932" s="373"/>
      <c r="AK932" s="171"/>
      <c r="AL932" s="171"/>
      <c r="AM932" s="171"/>
      <c r="AN932" s="161"/>
      <c r="AO932" s="193"/>
      <c r="AP932" s="193" t="e">
        <f t="shared" ca="1" si="586"/>
        <v>#NAME?</v>
      </c>
      <c r="AQ932" s="200"/>
      <c r="AR932" s="204"/>
      <c r="AS932" s="204"/>
      <c r="AT932" s="204"/>
      <c r="AU932" s="204"/>
      <c r="AV932" s="204"/>
    </row>
    <row r="933" spans="1:48" ht="12" customHeight="1">
      <c r="A933" s="42"/>
      <c r="B933" s="42"/>
      <c r="C933" s="42"/>
      <c r="D933" s="42"/>
      <c r="E933" s="42"/>
      <c r="F933" s="42"/>
      <c r="G933" s="42"/>
      <c r="H933" s="475"/>
      <c r="I933" s="465"/>
      <c r="J933" s="281">
        <v>3</v>
      </c>
      <c r="K933" s="2" t="s">
        <v>224</v>
      </c>
      <c r="L933" s="112">
        <f t="shared" ref="L933:S934" si="597">L934</f>
        <v>731840</v>
      </c>
      <c r="M933" s="112">
        <f t="shared" si="597"/>
        <v>97131.86011015992</v>
      </c>
      <c r="N933" s="113">
        <f t="shared" si="597"/>
        <v>988301</v>
      </c>
      <c r="O933" s="113">
        <f t="shared" si="597"/>
        <v>131170.08427898333</v>
      </c>
      <c r="P933" s="114">
        <f t="shared" si="597"/>
        <v>146700</v>
      </c>
      <c r="Q933" s="114">
        <f t="shared" si="597"/>
        <v>158000</v>
      </c>
      <c r="R933" s="88">
        <f t="shared" si="597"/>
        <v>153896</v>
      </c>
      <c r="S933" s="90" t="e">
        <f t="shared" ca="1" si="597"/>
        <v>#NAME?</v>
      </c>
      <c r="T933" s="90"/>
      <c r="U933" s="90"/>
      <c r="V933" s="200">
        <f>V934</f>
        <v>183500</v>
      </c>
      <c r="W933" s="200">
        <f t="shared" ref="W933:Z934" si="598">W934</f>
        <v>183500</v>
      </c>
      <c r="X933" s="88">
        <f t="shared" si="598"/>
        <v>234000</v>
      </c>
      <c r="Y933" s="171">
        <f t="shared" si="598"/>
        <v>273000</v>
      </c>
      <c r="Z933" s="171">
        <f t="shared" si="598"/>
        <v>0</v>
      </c>
      <c r="AA933" s="370" t="e">
        <f t="shared" ca="1" si="587"/>
        <v>#NAME?</v>
      </c>
      <c r="AB933" s="171"/>
      <c r="AC933" s="172">
        <f>AC934</f>
        <v>152000</v>
      </c>
      <c r="AD933" s="172">
        <f>AD934</f>
        <v>152000</v>
      </c>
      <c r="AE933" s="178">
        <f>O933/M933*100</f>
        <v>135.04331547879318</v>
      </c>
      <c r="AF933" s="178">
        <f t="shared" ref="AF933:AG935" si="599">P933/O933*100</f>
        <v>111.83952561011272</v>
      </c>
      <c r="AG933" s="178">
        <f t="shared" si="599"/>
        <v>107.70279481935923</v>
      </c>
      <c r="AH933" s="178">
        <f>AC933/Q933*100</f>
        <v>96.202531645569621</v>
      </c>
      <c r="AI933" s="171"/>
      <c r="AJ933" s="171">
        <v>273000</v>
      </c>
      <c r="AK933" s="171">
        <f t="shared" si="589"/>
        <v>119.23636741695691</v>
      </c>
      <c r="AL933" s="171">
        <f t="shared" si="590"/>
        <v>127.52043596730245</v>
      </c>
      <c r="AM933" s="171">
        <f t="shared" si="590"/>
        <v>116.66666666666667</v>
      </c>
      <c r="AN933" s="90"/>
      <c r="AO933" s="193"/>
      <c r="AP933" s="193" t="e">
        <f t="shared" ca="1" si="586"/>
        <v>#NAME?</v>
      </c>
      <c r="AQ933" s="200">
        <f>AQ934</f>
        <v>154738.14000000001</v>
      </c>
      <c r="AR933" s="204">
        <f t="shared" si="591"/>
        <v>119.23636741695691</v>
      </c>
      <c r="AS933" s="204">
        <f t="shared" si="592"/>
        <v>100</v>
      </c>
      <c r="AT933" s="204">
        <f t="shared" si="593"/>
        <v>119.23636741695691</v>
      </c>
      <c r="AU933" s="204">
        <f t="shared" si="594"/>
        <v>84.325961852861042</v>
      </c>
      <c r="AV933" s="204">
        <f t="shared" si="595"/>
        <v>100.54721370276032</v>
      </c>
    </row>
    <row r="934" spans="1:48" ht="12" customHeight="1">
      <c r="A934" s="476"/>
      <c r="B934" s="476"/>
      <c r="C934" s="476"/>
      <c r="D934" s="476"/>
      <c r="E934" s="476"/>
      <c r="F934" s="476"/>
      <c r="G934" s="476"/>
      <c r="H934" s="22"/>
      <c r="I934" s="350"/>
      <c r="J934" s="302">
        <v>37</v>
      </c>
      <c r="K934" s="343" t="s">
        <v>750</v>
      </c>
      <c r="L934" s="112">
        <f t="shared" si="597"/>
        <v>731840</v>
      </c>
      <c r="M934" s="112">
        <f t="shared" si="597"/>
        <v>97131.86011015992</v>
      </c>
      <c r="N934" s="113">
        <f t="shared" si="597"/>
        <v>988301</v>
      </c>
      <c r="O934" s="113">
        <f t="shared" si="597"/>
        <v>131170.08427898333</v>
      </c>
      <c r="P934" s="114">
        <f t="shared" si="597"/>
        <v>146700</v>
      </c>
      <c r="Q934" s="114">
        <f t="shared" si="597"/>
        <v>158000</v>
      </c>
      <c r="R934" s="88">
        <f t="shared" si="597"/>
        <v>153896</v>
      </c>
      <c r="S934" s="90" t="e">
        <f t="shared" ca="1" si="597"/>
        <v>#NAME?</v>
      </c>
      <c r="T934" s="90"/>
      <c r="U934" s="90"/>
      <c r="V934" s="200">
        <f>V935</f>
        <v>183500</v>
      </c>
      <c r="W934" s="200">
        <f t="shared" si="598"/>
        <v>183500</v>
      </c>
      <c r="X934" s="88">
        <f t="shared" si="598"/>
        <v>234000</v>
      </c>
      <c r="Y934" s="171">
        <f t="shared" si="598"/>
        <v>273000</v>
      </c>
      <c r="Z934" s="171">
        <f t="shared" si="598"/>
        <v>0</v>
      </c>
      <c r="AA934" s="370" t="e">
        <f t="shared" ca="1" si="587"/>
        <v>#NAME?</v>
      </c>
      <c r="AB934" s="171"/>
      <c r="AC934" s="172">
        <f>AC935</f>
        <v>152000</v>
      </c>
      <c r="AD934" s="172">
        <f>AD935</f>
        <v>152000</v>
      </c>
      <c r="AE934" s="178">
        <f>O934/M934*100</f>
        <v>135.04331547879318</v>
      </c>
      <c r="AF934" s="178">
        <f t="shared" si="599"/>
        <v>111.83952561011272</v>
      </c>
      <c r="AG934" s="178">
        <f t="shared" si="599"/>
        <v>107.70279481935923</v>
      </c>
      <c r="AH934" s="178">
        <f>AC934/Q934*100</f>
        <v>96.202531645569621</v>
      </c>
      <c r="AI934" s="171"/>
      <c r="AJ934" s="171">
        <v>273000</v>
      </c>
      <c r="AK934" s="171">
        <f t="shared" si="589"/>
        <v>119.23636741695691</v>
      </c>
      <c r="AL934" s="171">
        <f t="shared" si="590"/>
        <v>127.52043596730245</v>
      </c>
      <c r="AM934" s="171">
        <f t="shared" si="590"/>
        <v>116.66666666666667</v>
      </c>
      <c r="AN934" s="90"/>
      <c r="AO934" s="193"/>
      <c r="AP934" s="193" t="e">
        <f t="shared" ca="1" si="586"/>
        <v>#NAME?</v>
      </c>
      <c r="AQ934" s="200">
        <f>AQ935</f>
        <v>154738.14000000001</v>
      </c>
      <c r="AR934" s="204">
        <f t="shared" si="591"/>
        <v>119.23636741695691</v>
      </c>
      <c r="AS934" s="204">
        <f t="shared" si="592"/>
        <v>100</v>
      </c>
      <c r="AT934" s="204">
        <f t="shared" si="593"/>
        <v>119.23636741695691</v>
      </c>
      <c r="AU934" s="204">
        <f t="shared" si="594"/>
        <v>84.325961852861042</v>
      </c>
      <c r="AV934" s="204">
        <f t="shared" si="595"/>
        <v>100.54721370276032</v>
      </c>
    </row>
    <row r="935" spans="1:48" ht="12" customHeight="1">
      <c r="A935" s="473"/>
      <c r="B935" s="473"/>
      <c r="C935" s="473"/>
      <c r="D935" s="473"/>
      <c r="E935" s="473"/>
      <c r="F935" s="473"/>
      <c r="G935" s="473"/>
      <c r="H935" s="474"/>
      <c r="I935" s="464"/>
      <c r="J935" s="303">
        <v>372</v>
      </c>
      <c r="K935" s="19" t="s">
        <v>751</v>
      </c>
      <c r="L935" s="112">
        <f t="shared" ref="L935:S935" si="600">L937+L943</f>
        <v>731840</v>
      </c>
      <c r="M935" s="112">
        <f t="shared" si="600"/>
        <v>97131.86011015992</v>
      </c>
      <c r="N935" s="113">
        <f t="shared" si="600"/>
        <v>988301</v>
      </c>
      <c r="O935" s="113">
        <f t="shared" si="600"/>
        <v>131170.08427898333</v>
      </c>
      <c r="P935" s="114">
        <f t="shared" si="600"/>
        <v>146700</v>
      </c>
      <c r="Q935" s="114">
        <f t="shared" si="600"/>
        <v>158000</v>
      </c>
      <c r="R935" s="88">
        <f t="shared" si="600"/>
        <v>153896</v>
      </c>
      <c r="S935" s="90" t="e">
        <f t="shared" ca="1" si="600"/>
        <v>#NAME?</v>
      </c>
      <c r="T935" s="90"/>
      <c r="U935" s="90"/>
      <c r="V935" s="200">
        <f>V937+V943</f>
        <v>183500</v>
      </c>
      <c r="W935" s="200">
        <f>W937+W943</f>
        <v>183500</v>
      </c>
      <c r="X935" s="88">
        <f>X937+X943</f>
        <v>234000</v>
      </c>
      <c r="Y935" s="171">
        <f>Y937+Y943</f>
        <v>273000</v>
      </c>
      <c r="Z935" s="171">
        <f>Z937+Z943</f>
        <v>0</v>
      </c>
      <c r="AA935" s="370" t="e">
        <f t="shared" ca="1" si="587"/>
        <v>#NAME?</v>
      </c>
      <c r="AB935" s="171"/>
      <c r="AC935" s="172">
        <f>AC937+AC943</f>
        <v>152000</v>
      </c>
      <c r="AD935" s="172">
        <f>AD937+AD943</f>
        <v>152000</v>
      </c>
      <c r="AE935" s="178">
        <f>O935/M935*100</f>
        <v>135.04331547879318</v>
      </c>
      <c r="AF935" s="178">
        <f t="shared" si="599"/>
        <v>111.83952561011272</v>
      </c>
      <c r="AG935" s="178">
        <f t="shared" si="599"/>
        <v>107.70279481935923</v>
      </c>
      <c r="AH935" s="178">
        <f>AC935/Q935*100</f>
        <v>96.202531645569621</v>
      </c>
      <c r="AI935" s="171"/>
      <c r="AJ935" s="171">
        <v>273000</v>
      </c>
      <c r="AK935" s="171">
        <f t="shared" si="589"/>
        <v>119.23636741695691</v>
      </c>
      <c r="AL935" s="171">
        <f t="shared" si="590"/>
        <v>127.52043596730245</v>
      </c>
      <c r="AM935" s="171">
        <f t="shared" si="590"/>
        <v>116.66666666666667</v>
      </c>
      <c r="AN935" s="90"/>
      <c r="AO935" s="193"/>
      <c r="AP935" s="193" t="e">
        <f t="shared" ca="1" si="586"/>
        <v>#NAME?</v>
      </c>
      <c r="AQ935" s="200">
        <f>AQ937+AQ943</f>
        <v>154738.14000000001</v>
      </c>
      <c r="AR935" s="204">
        <f t="shared" si="591"/>
        <v>119.23636741695691</v>
      </c>
      <c r="AS935" s="204">
        <f t="shared" si="592"/>
        <v>100</v>
      </c>
      <c r="AT935" s="204">
        <f t="shared" si="593"/>
        <v>119.23636741695691</v>
      </c>
      <c r="AU935" s="204">
        <f t="shared" si="594"/>
        <v>84.325961852861042</v>
      </c>
      <c r="AV935" s="204">
        <f t="shared" si="595"/>
        <v>100.54721370276032</v>
      </c>
    </row>
    <row r="936" spans="1:48" ht="12" customHeight="1">
      <c r="A936" s="42"/>
      <c r="B936" s="42"/>
      <c r="C936" s="42"/>
      <c r="D936" s="42"/>
      <c r="E936" s="42"/>
      <c r="F936" s="42"/>
      <c r="G936" s="42"/>
      <c r="H936" s="308"/>
      <c r="I936" s="14"/>
      <c r="J936" s="2"/>
      <c r="K936" s="84"/>
      <c r="L936" s="85"/>
      <c r="M936" s="85"/>
      <c r="N936" s="86"/>
      <c r="O936" s="86"/>
      <c r="P936" s="87"/>
      <c r="Q936" s="87"/>
      <c r="R936" s="160"/>
      <c r="S936" s="165" t="e">
        <f ca="1">__xlfn.XLOOKUP(H936,[1]Izvršenje_proračuna_po_pozicija!$B$2:$B$153,[1]Izvršenje_proračuna_po_pozicija!$E$2:$E$153,0)</f>
        <v>#NAME?</v>
      </c>
      <c r="T936" s="165"/>
      <c r="U936" s="165"/>
      <c r="V936" s="200"/>
      <c r="W936" s="200"/>
      <c r="X936" s="361"/>
      <c r="Y936" s="373"/>
      <c r="Z936" s="373"/>
      <c r="AA936" s="370" t="e">
        <f t="shared" ca="1" si="587"/>
        <v>#NAME?</v>
      </c>
      <c r="AB936" s="181"/>
      <c r="AC936" s="182"/>
      <c r="AD936" s="182"/>
      <c r="AE936" s="178"/>
      <c r="AF936" s="178"/>
      <c r="AG936" s="178"/>
      <c r="AH936" s="178"/>
      <c r="AI936" s="181"/>
      <c r="AJ936" s="373"/>
      <c r="AK936" s="171"/>
      <c r="AL936" s="171"/>
      <c r="AM936" s="171"/>
      <c r="AN936" s="161"/>
      <c r="AO936" s="193"/>
      <c r="AP936" s="193" t="e">
        <f t="shared" ca="1" si="586"/>
        <v>#NAME?</v>
      </c>
      <c r="AQ936" s="200"/>
      <c r="AR936" s="204"/>
      <c r="AS936" s="204"/>
      <c r="AT936" s="204"/>
      <c r="AU936" s="204"/>
      <c r="AV936" s="204"/>
    </row>
    <row r="937" spans="1:48" ht="12" customHeight="1">
      <c r="A937" s="209"/>
      <c r="B937" s="209"/>
      <c r="C937" s="209"/>
      <c r="D937" s="209"/>
      <c r="E937" s="209"/>
      <c r="F937" s="209"/>
      <c r="G937" s="209"/>
      <c r="H937" s="21"/>
      <c r="I937" s="397"/>
      <c r="J937" s="229">
        <v>3721</v>
      </c>
      <c r="K937" s="18" t="s">
        <v>752</v>
      </c>
      <c r="L937" s="112">
        <f t="shared" ref="L937:S937" si="601">L938+L939+L940+L941</f>
        <v>526750</v>
      </c>
      <c r="M937" s="112">
        <f t="shared" si="601"/>
        <v>69911.739332404264</v>
      </c>
      <c r="N937" s="113">
        <f t="shared" si="601"/>
        <v>592585</v>
      </c>
      <c r="O937" s="113">
        <f t="shared" si="601"/>
        <v>78649.545424381169</v>
      </c>
      <c r="P937" s="114">
        <f t="shared" si="601"/>
        <v>96700</v>
      </c>
      <c r="Q937" s="114">
        <f t="shared" si="601"/>
        <v>98000</v>
      </c>
      <c r="R937" s="88">
        <f t="shared" si="601"/>
        <v>100320</v>
      </c>
      <c r="S937" s="90" t="e">
        <f t="shared" ca="1" si="601"/>
        <v>#NAME?</v>
      </c>
      <c r="T937" s="90"/>
      <c r="U937" s="90"/>
      <c r="V937" s="200">
        <f>V938+V939+V940+V941</f>
        <v>114500</v>
      </c>
      <c r="W937" s="200">
        <f>W938+W939+W940+W941</f>
        <v>114500</v>
      </c>
      <c r="X937" s="88">
        <f>X938+X939+X940+X941</f>
        <v>154000</v>
      </c>
      <c r="Y937" s="171">
        <f>Y938+Y939+Y940+Y941</f>
        <v>173000</v>
      </c>
      <c r="Z937" s="171">
        <f>Z938+Z939+Z940+Z941</f>
        <v>0</v>
      </c>
      <c r="AA937" s="370" t="e">
        <f t="shared" ca="1" si="587"/>
        <v>#NAME?</v>
      </c>
      <c r="AB937" s="171"/>
      <c r="AC937" s="172">
        <f>AC938+AC939+AC940+AC941</f>
        <v>100000</v>
      </c>
      <c r="AD937" s="172">
        <f>AD938+AD939+AD940+AD941</f>
        <v>100000</v>
      </c>
      <c r="AE937" s="178">
        <f>O937/M937*100</f>
        <v>112.49833887043191</v>
      </c>
      <c r="AF937" s="178">
        <f>P937/O937*100</f>
        <v>122.95048811562901</v>
      </c>
      <c r="AG937" s="178">
        <f>Q937/P937*100</f>
        <v>101.34436401240951</v>
      </c>
      <c r="AH937" s="178">
        <f>AC937/Q937*100</f>
        <v>102.04081632653062</v>
      </c>
      <c r="AI937" s="171"/>
      <c r="AJ937" s="171">
        <v>173000</v>
      </c>
      <c r="AK937" s="171">
        <f t="shared" si="589"/>
        <v>114.1347687400319</v>
      </c>
      <c r="AL937" s="171">
        <f t="shared" si="590"/>
        <v>134.49781659388645</v>
      </c>
      <c r="AM937" s="171">
        <f t="shared" si="590"/>
        <v>112.33766233766234</v>
      </c>
      <c r="AN937" s="90"/>
      <c r="AO937" s="460"/>
      <c r="AP937" s="193" t="e">
        <f t="shared" ca="1" si="586"/>
        <v>#NAME?</v>
      </c>
      <c r="AQ937" s="200">
        <f>AQ938+AQ939+AQ940+AQ941</f>
        <v>113267.61</v>
      </c>
      <c r="AR937" s="204">
        <f t="shared" si="591"/>
        <v>114.1347687400319</v>
      </c>
      <c r="AS937" s="204">
        <f t="shared" si="592"/>
        <v>100</v>
      </c>
      <c r="AT937" s="204">
        <f t="shared" si="593"/>
        <v>114.1347687400319</v>
      </c>
      <c r="AU937" s="204">
        <f t="shared" si="594"/>
        <v>98.923676855895195</v>
      </c>
      <c r="AV937" s="204">
        <f t="shared" si="595"/>
        <v>112.90630980861245</v>
      </c>
    </row>
    <row r="938" spans="1:48" ht="12" customHeight="1">
      <c r="A938" s="53"/>
      <c r="B938" s="53"/>
      <c r="C938" s="53"/>
      <c r="D938" s="53"/>
      <c r="E938" s="53"/>
      <c r="F938" s="53"/>
      <c r="G938" s="53"/>
      <c r="H938" s="1">
        <v>130</v>
      </c>
      <c r="I938" s="6">
        <v>1070</v>
      </c>
      <c r="J938" s="229">
        <v>3721</v>
      </c>
      <c r="K938" s="18" t="s">
        <v>753</v>
      </c>
      <c r="L938" s="130">
        <v>384226</v>
      </c>
      <c r="M938" s="130">
        <f>384226/7.5345</f>
        <v>50995.553785918106</v>
      </c>
      <c r="N938" s="131">
        <v>469009</v>
      </c>
      <c r="O938" s="131">
        <f>N938/7.5345</f>
        <v>62248.191651735346</v>
      </c>
      <c r="P938" s="132">
        <v>66400</v>
      </c>
      <c r="Q938" s="163">
        <v>70000</v>
      </c>
      <c r="R938" s="159">
        <v>76777</v>
      </c>
      <c r="S938" s="165" t="e">
        <f ca="1">__xlfn.XLOOKUP(H938,[1]Izvršenje_proračuna_po_pozicija!$B$2:$B$153,[1]Izvršenje_proračuna_po_pozicija!$E$2:$E$153,0)</f>
        <v>#NAME?</v>
      </c>
      <c r="T938" s="165"/>
      <c r="U938" s="165"/>
      <c r="V938" s="200">
        <v>75000</v>
      </c>
      <c r="W938" s="200">
        <v>75000</v>
      </c>
      <c r="X938" s="164">
        <v>80000</v>
      </c>
      <c r="Y938" s="378">
        <v>90000</v>
      </c>
      <c r="Z938" s="378"/>
      <c r="AA938" s="370" t="e">
        <f t="shared" ca="1" si="587"/>
        <v>#NAME?</v>
      </c>
      <c r="AB938" s="183"/>
      <c r="AC938" s="178">
        <v>67000</v>
      </c>
      <c r="AD938" s="178">
        <v>67000</v>
      </c>
      <c r="AE938" s="178">
        <f>O938/M938*100</f>
        <v>122.06591953693919</v>
      </c>
      <c r="AF938" s="178">
        <f>P938/O938*100</f>
        <v>106.66976539895823</v>
      </c>
      <c r="AG938" s="178">
        <f>Q938/P938*100</f>
        <v>105.42168674698796</v>
      </c>
      <c r="AH938" s="178">
        <f>AC938/Q938*100</f>
        <v>95.714285714285722</v>
      </c>
      <c r="AI938" s="183"/>
      <c r="AJ938" s="378">
        <v>90000</v>
      </c>
      <c r="AK938" s="171">
        <f t="shared" si="589"/>
        <v>97.685504773565</v>
      </c>
      <c r="AL938" s="171">
        <f t="shared" si="590"/>
        <v>106.66666666666667</v>
      </c>
      <c r="AM938" s="171">
        <f t="shared" si="590"/>
        <v>112.5</v>
      </c>
      <c r="AN938" s="165"/>
      <c r="AO938" s="460"/>
      <c r="AP938" s="193" t="e">
        <f t="shared" ca="1" si="586"/>
        <v>#NAME?</v>
      </c>
      <c r="AQ938" s="200">
        <v>76220.33</v>
      </c>
      <c r="AR938" s="204">
        <f t="shared" si="591"/>
        <v>97.685504773565</v>
      </c>
      <c r="AS938" s="204">
        <f t="shared" si="592"/>
        <v>100</v>
      </c>
      <c r="AT938" s="204">
        <f t="shared" si="593"/>
        <v>97.685504773565</v>
      </c>
      <c r="AU938" s="204">
        <f t="shared" si="594"/>
        <v>101.62710666666668</v>
      </c>
      <c r="AV938" s="204">
        <f t="shared" si="595"/>
        <v>99.274952134102662</v>
      </c>
    </row>
    <row r="939" spans="1:48" ht="12" customHeight="1">
      <c r="A939" s="53"/>
      <c r="B939" s="53"/>
      <c r="C939" s="53"/>
      <c r="D939" s="53"/>
      <c r="E939" s="53"/>
      <c r="F939" s="53"/>
      <c r="G939" s="53"/>
      <c r="H939" s="1">
        <v>131</v>
      </c>
      <c r="I939" s="6">
        <v>1012</v>
      </c>
      <c r="J939" s="229">
        <v>3721</v>
      </c>
      <c r="K939" s="18" t="s">
        <v>754</v>
      </c>
      <c r="L939" s="130">
        <v>0</v>
      </c>
      <c r="M939" s="130">
        <v>0</v>
      </c>
      <c r="N939" s="131">
        <v>0</v>
      </c>
      <c r="O939" s="131">
        <f>N939/7.5345</f>
        <v>0</v>
      </c>
      <c r="P939" s="132">
        <v>1000</v>
      </c>
      <c r="Q939" s="132">
        <v>1000</v>
      </c>
      <c r="R939" s="159">
        <v>0</v>
      </c>
      <c r="S939" s="165" t="e">
        <f ca="1">__xlfn.XLOOKUP(H939,[1]Izvršenje_proračuna_po_pozicija!$B$2:$B$153,[1]Izvršenje_proračuna_po_pozicija!$E$2:$E$153,0)</f>
        <v>#NAME?</v>
      </c>
      <c r="T939" s="165"/>
      <c r="U939" s="165"/>
      <c r="V939" s="200">
        <v>1000</v>
      </c>
      <c r="W939" s="200">
        <v>1000</v>
      </c>
      <c r="X939" s="164">
        <v>1000</v>
      </c>
      <c r="Y939" s="378">
        <v>3000</v>
      </c>
      <c r="Z939" s="378"/>
      <c r="AA939" s="370" t="e">
        <f t="shared" ca="1" si="587"/>
        <v>#NAME?</v>
      </c>
      <c r="AB939" s="183"/>
      <c r="AC939" s="178">
        <v>1000</v>
      </c>
      <c r="AD939" s="178">
        <v>1000</v>
      </c>
      <c r="AE939" s="178"/>
      <c r="AF939" s="178"/>
      <c r="AG939" s="178">
        <f>Q939/P939*100</f>
        <v>100</v>
      </c>
      <c r="AH939" s="178">
        <f>AC939/Q939*100</f>
        <v>100</v>
      </c>
      <c r="AI939" s="183"/>
      <c r="AJ939" s="378">
        <v>3000</v>
      </c>
      <c r="AK939" s="171"/>
      <c r="AL939" s="171">
        <f t="shared" si="590"/>
        <v>100</v>
      </c>
      <c r="AM939" s="171">
        <f t="shared" si="590"/>
        <v>300</v>
      </c>
      <c r="AN939" s="165"/>
      <c r="AO939" s="460"/>
      <c r="AP939" s="193" t="e">
        <f t="shared" ca="1" si="586"/>
        <v>#NAME?</v>
      </c>
      <c r="AQ939" s="200"/>
      <c r="AR939" s="204"/>
      <c r="AS939" s="204">
        <f t="shared" si="592"/>
        <v>100</v>
      </c>
      <c r="AT939" s="204"/>
      <c r="AU939" s="204">
        <f t="shared" si="594"/>
        <v>0</v>
      </c>
      <c r="AV939" s="204"/>
    </row>
    <row r="940" spans="1:48" ht="12" customHeight="1">
      <c r="A940" s="53"/>
      <c r="B940" s="53"/>
      <c r="C940" s="53"/>
      <c r="D940" s="53"/>
      <c r="E940" s="53"/>
      <c r="F940" s="53"/>
      <c r="G940" s="53"/>
      <c r="H940" s="1">
        <v>132</v>
      </c>
      <c r="I940" s="6">
        <v>1040</v>
      </c>
      <c r="J940" s="229">
        <v>3721</v>
      </c>
      <c r="K940" s="18" t="s">
        <v>755</v>
      </c>
      <c r="L940" s="130">
        <v>0</v>
      </c>
      <c r="M940" s="130">
        <v>0</v>
      </c>
      <c r="N940" s="131">
        <v>0</v>
      </c>
      <c r="O940" s="131">
        <f>N940/7.5345</f>
        <v>0</v>
      </c>
      <c r="P940" s="132">
        <v>9300</v>
      </c>
      <c r="Q940" s="163">
        <v>5500</v>
      </c>
      <c r="R940" s="159">
        <v>0</v>
      </c>
      <c r="S940" s="165" t="e">
        <f ca="1">__xlfn.XLOOKUP(H940,[1]Izvršenje_proračuna_po_pozicija!$B$2:$B$153,[1]Izvršenje_proračuna_po_pozicija!$E$2:$E$153,0)</f>
        <v>#NAME?</v>
      </c>
      <c r="T940" s="165"/>
      <c r="U940" s="165"/>
      <c r="V940" s="200">
        <v>16500</v>
      </c>
      <c r="W940" s="200">
        <v>16500</v>
      </c>
      <c r="X940" s="164">
        <v>50000</v>
      </c>
      <c r="Y940" s="378">
        <v>50000</v>
      </c>
      <c r="Z940" s="378"/>
      <c r="AA940" s="370" t="e">
        <f t="shared" ca="1" si="587"/>
        <v>#NAME?</v>
      </c>
      <c r="AB940" s="183"/>
      <c r="AC940" s="178">
        <v>12000</v>
      </c>
      <c r="AD940" s="178">
        <v>12000</v>
      </c>
      <c r="AE940" s="178"/>
      <c r="AF940" s="178"/>
      <c r="AG940" s="178"/>
      <c r="AH940" s="178"/>
      <c r="AI940" s="183"/>
      <c r="AJ940" s="378">
        <v>50000</v>
      </c>
      <c r="AK940" s="171"/>
      <c r="AL940" s="171">
        <f t="shared" si="590"/>
        <v>303.030303030303</v>
      </c>
      <c r="AM940" s="171">
        <f t="shared" si="590"/>
        <v>100</v>
      </c>
      <c r="AN940" s="165"/>
      <c r="AO940" s="460"/>
      <c r="AP940" s="193" t="e">
        <f t="shared" ca="1" si="586"/>
        <v>#NAME?</v>
      </c>
      <c r="AQ940" s="200">
        <v>13300</v>
      </c>
      <c r="AR940" s="204"/>
      <c r="AS940" s="204">
        <f t="shared" si="592"/>
        <v>100</v>
      </c>
      <c r="AT940" s="204"/>
      <c r="AU940" s="204">
        <f t="shared" si="594"/>
        <v>80.606060606060609</v>
      </c>
      <c r="AV940" s="204"/>
    </row>
    <row r="941" spans="1:48" ht="12" customHeight="1">
      <c r="A941" s="53"/>
      <c r="B941" s="53"/>
      <c r="C941" s="53"/>
      <c r="D941" s="53"/>
      <c r="E941" s="53"/>
      <c r="F941" s="53"/>
      <c r="G941" s="53"/>
      <c r="H941" s="1" t="s">
        <v>756</v>
      </c>
      <c r="I941" s="6">
        <v>1040</v>
      </c>
      <c r="J941" s="229">
        <v>3721</v>
      </c>
      <c r="K941" s="18" t="s">
        <v>757</v>
      </c>
      <c r="L941" s="130">
        <v>142524</v>
      </c>
      <c r="M941" s="130">
        <f>142524/7.5345</f>
        <v>18916.185546486162</v>
      </c>
      <c r="N941" s="131">
        <v>123576</v>
      </c>
      <c r="O941" s="131">
        <f>N941/7.5345</f>
        <v>16401.353772645827</v>
      </c>
      <c r="P941" s="132">
        <v>20000</v>
      </c>
      <c r="Q941" s="163">
        <v>21500</v>
      </c>
      <c r="R941" s="159">
        <v>23543</v>
      </c>
      <c r="S941" s="165" t="e">
        <f ca="1">__xlfn.XLOOKUP(H941,[1]Izvršenje_proračuna_po_pozicija!$B$2:$B$153,[1]Izvršenje_proračuna_po_pozicija!$E$2:$E$153,0)</f>
        <v>#NAME?</v>
      </c>
      <c r="T941" s="165"/>
      <c r="U941" s="165"/>
      <c r="V941" s="200">
        <v>22000</v>
      </c>
      <c r="W941" s="200">
        <v>22000</v>
      </c>
      <c r="X941" s="164">
        <v>23000</v>
      </c>
      <c r="Y941" s="378">
        <v>30000</v>
      </c>
      <c r="Z941" s="378"/>
      <c r="AA941" s="370" t="e">
        <f t="shared" ca="1" si="587"/>
        <v>#NAME?</v>
      </c>
      <c r="AB941" s="183"/>
      <c r="AC941" s="178">
        <v>20000</v>
      </c>
      <c r="AD941" s="178">
        <v>20000</v>
      </c>
      <c r="AE941" s="178">
        <f>O941/M941*100</f>
        <v>86.705396985770804</v>
      </c>
      <c r="AF941" s="178">
        <f>P941/O941*100</f>
        <v>121.94115362206254</v>
      </c>
      <c r="AG941" s="178">
        <f>Q941/P941*100</f>
        <v>107.5</v>
      </c>
      <c r="AH941" s="178">
        <f>AC941/Q941*100</f>
        <v>93.023255813953483</v>
      </c>
      <c r="AI941" s="183"/>
      <c r="AJ941" s="378">
        <v>30000</v>
      </c>
      <c r="AK941" s="171">
        <f t="shared" si="589"/>
        <v>93.446034914836687</v>
      </c>
      <c r="AL941" s="171">
        <f t="shared" si="590"/>
        <v>104.54545454545455</v>
      </c>
      <c r="AM941" s="171">
        <f t="shared" si="590"/>
        <v>130.43478260869566</v>
      </c>
      <c r="AN941" s="165"/>
      <c r="AO941" s="460"/>
      <c r="AP941" s="193" t="e">
        <f t="shared" ca="1" si="586"/>
        <v>#NAME?</v>
      </c>
      <c r="AQ941" s="200">
        <v>23747.279999999999</v>
      </c>
      <c r="AR941" s="204">
        <f t="shared" si="591"/>
        <v>93.446034914836687</v>
      </c>
      <c r="AS941" s="204">
        <f t="shared" si="592"/>
        <v>100</v>
      </c>
      <c r="AT941" s="204">
        <f t="shared" si="593"/>
        <v>93.446034914836687</v>
      </c>
      <c r="AU941" s="204">
        <f t="shared" si="594"/>
        <v>107.94218181818181</v>
      </c>
      <c r="AV941" s="204">
        <f t="shared" si="595"/>
        <v>100.86768890965467</v>
      </c>
    </row>
    <row r="942" spans="1:48" ht="12" customHeight="1">
      <c r="A942" s="69"/>
      <c r="B942" s="69"/>
      <c r="C942" s="69"/>
      <c r="D942" s="69"/>
      <c r="E942" s="69"/>
      <c r="F942" s="69"/>
      <c r="G942" s="69"/>
      <c r="H942" s="389"/>
      <c r="I942" s="3"/>
      <c r="J942" s="7"/>
      <c r="K942" s="7"/>
      <c r="L942" s="217"/>
      <c r="M942" s="217"/>
      <c r="N942" s="218"/>
      <c r="O942" s="218"/>
      <c r="P942" s="219"/>
      <c r="Q942" s="219"/>
      <c r="R942" s="282"/>
      <c r="S942" s="165" t="e">
        <f ca="1">__xlfn.XLOOKUP(H942,[1]Izvršenje_proračuna_po_pozicija!$B$2:$B$153,[1]Izvršenje_proračuna_po_pozicija!$E$2:$E$153,0)</f>
        <v>#NAME?</v>
      </c>
      <c r="T942" s="165"/>
      <c r="U942" s="165"/>
      <c r="V942" s="200"/>
      <c r="W942" s="200"/>
      <c r="X942" s="167"/>
      <c r="Y942" s="424"/>
      <c r="Z942" s="424"/>
      <c r="AA942" s="370" t="e">
        <f t="shared" ca="1" si="587"/>
        <v>#NAME?</v>
      </c>
      <c r="AB942" s="223"/>
      <c r="AC942" s="224"/>
      <c r="AD942" s="224"/>
      <c r="AE942" s="178"/>
      <c r="AF942" s="178"/>
      <c r="AG942" s="178"/>
      <c r="AH942" s="178"/>
      <c r="AI942" s="223"/>
      <c r="AJ942" s="424"/>
      <c r="AK942" s="171"/>
      <c r="AL942" s="171"/>
      <c r="AM942" s="171"/>
      <c r="AN942" s="222"/>
      <c r="AO942" s="460"/>
      <c r="AP942" s="193" t="e">
        <f t="shared" ca="1" si="586"/>
        <v>#NAME?</v>
      </c>
      <c r="AQ942" s="200"/>
      <c r="AR942" s="204"/>
      <c r="AS942" s="204"/>
      <c r="AT942" s="204"/>
      <c r="AU942" s="204"/>
      <c r="AV942" s="204"/>
    </row>
    <row r="943" spans="1:48" ht="12" customHeight="1">
      <c r="A943" s="53"/>
      <c r="B943" s="53"/>
      <c r="C943" s="53"/>
      <c r="D943" s="53"/>
      <c r="E943" s="53"/>
      <c r="F943" s="53"/>
      <c r="G943" s="53"/>
      <c r="H943" s="1"/>
      <c r="I943" s="6"/>
      <c r="J943" s="229">
        <v>3722</v>
      </c>
      <c r="K943" s="18" t="s">
        <v>758</v>
      </c>
      <c r="L943" s="112">
        <f t="shared" ref="L943:S943" si="602">L944+L945</f>
        <v>205090</v>
      </c>
      <c r="M943" s="112">
        <f t="shared" si="602"/>
        <v>27220.120777755656</v>
      </c>
      <c r="N943" s="113">
        <f t="shared" si="602"/>
        <v>395716</v>
      </c>
      <c r="O943" s="113">
        <f t="shared" si="602"/>
        <v>52520.538854602157</v>
      </c>
      <c r="P943" s="114">
        <f t="shared" si="602"/>
        <v>50000</v>
      </c>
      <c r="Q943" s="114">
        <f t="shared" si="602"/>
        <v>60000</v>
      </c>
      <c r="R943" s="88">
        <f t="shared" si="602"/>
        <v>53576</v>
      </c>
      <c r="S943" s="90" t="e">
        <f t="shared" ca="1" si="602"/>
        <v>#NAME?</v>
      </c>
      <c r="T943" s="90"/>
      <c r="U943" s="90"/>
      <c r="V943" s="200">
        <f>V944+V945</f>
        <v>69000</v>
      </c>
      <c r="W943" s="200">
        <f>W944+W945</f>
        <v>69000</v>
      </c>
      <c r="X943" s="88">
        <f>X944+X945</f>
        <v>80000</v>
      </c>
      <c r="Y943" s="171">
        <f>Y944+Y945</f>
        <v>100000</v>
      </c>
      <c r="Z943" s="171">
        <f>Z944+Z945</f>
        <v>0</v>
      </c>
      <c r="AA943" s="370" t="e">
        <f t="shared" ca="1" si="587"/>
        <v>#NAME?</v>
      </c>
      <c r="AB943" s="171"/>
      <c r="AC943" s="172">
        <f>AC944+AC945</f>
        <v>52000</v>
      </c>
      <c r="AD943" s="172">
        <f>AD944+AD945</f>
        <v>52000</v>
      </c>
      <c r="AE943" s="178">
        <f>O943/M943*100</f>
        <v>192.94748646935491</v>
      </c>
      <c r="AF943" s="178">
        <f t="shared" ref="AF943:AG945" si="603">P943/O943*100</f>
        <v>95.20085111544644</v>
      </c>
      <c r="AG943" s="178">
        <f t="shared" si="603"/>
        <v>120</v>
      </c>
      <c r="AH943" s="178">
        <f>AC943/Q943*100</f>
        <v>86.666666666666671</v>
      </c>
      <c r="AI943" s="171"/>
      <c r="AJ943" s="171">
        <v>100000</v>
      </c>
      <c r="AK943" s="171">
        <f t="shared" si="589"/>
        <v>128.78901000447962</v>
      </c>
      <c r="AL943" s="171">
        <f t="shared" si="590"/>
        <v>115.94202898550725</v>
      </c>
      <c r="AM943" s="171">
        <f t="shared" si="590"/>
        <v>125</v>
      </c>
      <c r="AN943" s="90"/>
      <c r="AO943" s="460"/>
      <c r="AP943" s="193" t="e">
        <f t="shared" ca="1" si="586"/>
        <v>#NAME?</v>
      </c>
      <c r="AQ943" s="200">
        <f>AQ944+AQ945</f>
        <v>41470.53</v>
      </c>
      <c r="AR943" s="204">
        <f t="shared" si="591"/>
        <v>128.78901000447962</v>
      </c>
      <c r="AS943" s="204">
        <f t="shared" si="592"/>
        <v>100</v>
      </c>
      <c r="AT943" s="204">
        <f t="shared" si="593"/>
        <v>128.78901000447962</v>
      </c>
      <c r="AU943" s="204">
        <f t="shared" si="594"/>
        <v>60.10221739130435</v>
      </c>
      <c r="AV943" s="204">
        <f t="shared" si="595"/>
        <v>77.405050769001036</v>
      </c>
    </row>
    <row r="944" spans="1:48" ht="12" customHeight="1">
      <c r="A944" s="53"/>
      <c r="B944" s="53"/>
      <c r="C944" s="53"/>
      <c r="D944" s="53"/>
      <c r="E944" s="53"/>
      <c r="F944" s="53"/>
      <c r="G944" s="53"/>
      <c r="H944" s="1">
        <v>134</v>
      </c>
      <c r="I944" s="6">
        <v>1060</v>
      </c>
      <c r="J944" s="229">
        <v>3722</v>
      </c>
      <c r="K944" s="18" t="s">
        <v>759</v>
      </c>
      <c r="L944" s="130">
        <v>96456</v>
      </c>
      <c r="M944" s="130">
        <f>96456/7.5345</f>
        <v>12801.91120844117</v>
      </c>
      <c r="N944" s="131">
        <v>83520</v>
      </c>
      <c r="O944" s="131">
        <f>N944/7.5345</f>
        <v>11085.008958789567</v>
      </c>
      <c r="P944" s="132">
        <v>19000</v>
      </c>
      <c r="Q944" s="132">
        <v>19000</v>
      </c>
      <c r="R944" s="159">
        <v>11036</v>
      </c>
      <c r="S944" s="165" t="e">
        <f ca="1">__xlfn.XLOOKUP(H944,[1]Izvršenje_proračuna_po_pozicija!$B$2:$B$153,[1]Izvršenje_proračuna_po_pozicija!$E$2:$E$153,0)</f>
        <v>#NAME?</v>
      </c>
      <c r="T944" s="165"/>
      <c r="U944" s="165"/>
      <c r="V944" s="200">
        <v>19000</v>
      </c>
      <c r="W944" s="200">
        <v>19000</v>
      </c>
      <c r="X944" s="164">
        <v>20000</v>
      </c>
      <c r="Y944" s="378">
        <v>20000</v>
      </c>
      <c r="Z944" s="378"/>
      <c r="AA944" s="370" t="e">
        <f t="shared" ca="1" si="587"/>
        <v>#NAME?</v>
      </c>
      <c r="AB944" s="183"/>
      <c r="AC944" s="178">
        <v>20000</v>
      </c>
      <c r="AD944" s="178">
        <v>20000</v>
      </c>
      <c r="AE944" s="178">
        <f>O944/M944*100</f>
        <v>86.588703657626269</v>
      </c>
      <c r="AF944" s="178">
        <f t="shared" si="603"/>
        <v>171.40265804597703</v>
      </c>
      <c r="AG944" s="178">
        <f t="shared" si="603"/>
        <v>100</v>
      </c>
      <c r="AH944" s="178">
        <f>AC944/Q944*100</f>
        <v>105.26315789473684</v>
      </c>
      <c r="AI944" s="183"/>
      <c r="AJ944" s="378">
        <v>20000</v>
      </c>
      <c r="AK944" s="171">
        <f t="shared" si="589"/>
        <v>172.16382747372236</v>
      </c>
      <c r="AL944" s="171">
        <f t="shared" si="590"/>
        <v>105.26315789473684</v>
      </c>
      <c r="AM944" s="171">
        <f t="shared" si="590"/>
        <v>100</v>
      </c>
      <c r="AN944" s="165"/>
      <c r="AO944" s="460"/>
      <c r="AP944" s="193" t="e">
        <f t="shared" ca="1" si="586"/>
        <v>#NAME?</v>
      </c>
      <c r="AQ944" s="200">
        <v>15598.46</v>
      </c>
      <c r="AR944" s="204">
        <f t="shared" si="591"/>
        <v>172.16382747372236</v>
      </c>
      <c r="AS944" s="204">
        <f t="shared" si="592"/>
        <v>100</v>
      </c>
      <c r="AT944" s="204">
        <f t="shared" si="593"/>
        <v>172.16382747372236</v>
      </c>
      <c r="AU944" s="204">
        <f t="shared" si="594"/>
        <v>82.097157894736839</v>
      </c>
      <c r="AV944" s="204">
        <f t="shared" si="595"/>
        <v>141.34160927872418</v>
      </c>
    </row>
    <row r="945" spans="1:48" ht="12" customHeight="1">
      <c r="A945" s="305"/>
      <c r="B945" s="305"/>
      <c r="C945" s="305"/>
      <c r="D945" s="305"/>
      <c r="E945" s="305"/>
      <c r="F945" s="305"/>
      <c r="G945" s="305"/>
      <c r="H945" s="609" t="s">
        <v>760</v>
      </c>
      <c r="I945" s="6">
        <v>1060</v>
      </c>
      <c r="J945" s="229">
        <v>3722</v>
      </c>
      <c r="K945" s="229" t="s">
        <v>761</v>
      </c>
      <c r="L945" s="137">
        <v>108634</v>
      </c>
      <c r="M945" s="137">
        <f>108634/7.5345</f>
        <v>14418.209569314486</v>
      </c>
      <c r="N945" s="138">
        <v>312196</v>
      </c>
      <c r="O945" s="131">
        <f>N945/7.5345</f>
        <v>41435.529895812593</v>
      </c>
      <c r="P945" s="139">
        <v>31000</v>
      </c>
      <c r="Q945" s="417">
        <v>41000</v>
      </c>
      <c r="R945" s="137">
        <v>42540</v>
      </c>
      <c r="S945" s="165" t="e">
        <f ca="1">__xlfn.XLOOKUP(H945,[1]Izvršenje_proračuna_po_pozicija!$B$2:$B$153,[1]Izvršenje_proračuna_po_pozicija!$E$2:$E$153,0)</f>
        <v>#NAME?</v>
      </c>
      <c r="T945" s="165"/>
      <c r="U945" s="165"/>
      <c r="V945" s="200">
        <v>50000</v>
      </c>
      <c r="W945" s="200">
        <v>50000</v>
      </c>
      <c r="X945" s="166">
        <v>60000</v>
      </c>
      <c r="Y945" s="425">
        <v>80000</v>
      </c>
      <c r="Z945" s="425"/>
      <c r="AA945" s="370" t="e">
        <f t="shared" ca="1" si="587"/>
        <v>#NAME?</v>
      </c>
      <c r="AB945" s="184"/>
      <c r="AC945" s="185">
        <v>32000</v>
      </c>
      <c r="AD945" s="185">
        <v>32000</v>
      </c>
      <c r="AE945" s="178">
        <f>O945/M945*100</f>
        <v>287.3833238212714</v>
      </c>
      <c r="AF945" s="178">
        <f t="shared" si="603"/>
        <v>74.81502005150611</v>
      </c>
      <c r="AG945" s="178">
        <f t="shared" si="603"/>
        <v>132.25806451612902</v>
      </c>
      <c r="AH945" s="178">
        <f>AC945/Q945*100</f>
        <v>78.048780487804876</v>
      </c>
      <c r="AI945" s="184"/>
      <c r="AJ945" s="425">
        <v>80000</v>
      </c>
      <c r="AK945" s="171">
        <f t="shared" si="589"/>
        <v>117.53643629525152</v>
      </c>
      <c r="AL945" s="171">
        <f t="shared" si="590"/>
        <v>120</v>
      </c>
      <c r="AM945" s="171">
        <f t="shared" si="590"/>
        <v>133.33333333333331</v>
      </c>
      <c r="AN945" s="139"/>
      <c r="AO945" s="460"/>
      <c r="AP945" s="193" t="e">
        <f t="shared" ca="1" si="586"/>
        <v>#NAME?</v>
      </c>
      <c r="AQ945" s="200">
        <v>25872.07</v>
      </c>
      <c r="AR945" s="204">
        <f t="shared" si="591"/>
        <v>117.53643629525152</v>
      </c>
      <c r="AS945" s="204">
        <f t="shared" si="592"/>
        <v>100</v>
      </c>
      <c r="AT945" s="204">
        <f t="shared" si="593"/>
        <v>117.53643629525152</v>
      </c>
      <c r="AU945" s="204">
        <f t="shared" si="594"/>
        <v>51.744139999999994</v>
      </c>
      <c r="AV945" s="204">
        <f t="shared" si="595"/>
        <v>60.818218147625771</v>
      </c>
    </row>
    <row r="946" spans="1:48" ht="12" customHeight="1">
      <c r="A946" s="305"/>
      <c r="B946" s="305"/>
      <c r="C946" s="305"/>
      <c r="D946" s="305"/>
      <c r="E946" s="305"/>
      <c r="F946" s="305"/>
      <c r="G946" s="305"/>
      <c r="H946" s="394"/>
      <c r="I946" s="13"/>
      <c r="J946" s="4"/>
      <c r="K946" s="229"/>
      <c r="L946" s="137"/>
      <c r="M946" s="137"/>
      <c r="N946" s="138"/>
      <c r="O946" s="138"/>
      <c r="P946" s="139"/>
      <c r="Q946" s="139"/>
      <c r="R946" s="137"/>
      <c r="S946" s="165" t="e">
        <f ca="1">__xlfn.XLOOKUP(H946,[1]Izvršenje_proračuna_po_pozicija!$B$2:$B$153,[1]Izvršenje_proračuna_po_pozicija!$E$2:$E$153,0)</f>
        <v>#NAME?</v>
      </c>
      <c r="T946" s="165"/>
      <c r="U946" s="165"/>
      <c r="V946" s="200"/>
      <c r="W946" s="200"/>
      <c r="X946" s="166"/>
      <c r="Y946" s="425"/>
      <c r="Z946" s="425"/>
      <c r="AA946" s="370" t="e">
        <f t="shared" ca="1" si="587"/>
        <v>#NAME?</v>
      </c>
      <c r="AB946" s="184"/>
      <c r="AC946" s="185"/>
      <c r="AD946" s="185"/>
      <c r="AE946" s="178"/>
      <c r="AF946" s="178"/>
      <c r="AG946" s="178"/>
      <c r="AH946" s="178"/>
      <c r="AI946" s="184"/>
      <c r="AJ946" s="425"/>
      <c r="AK946" s="171"/>
      <c r="AL946" s="171"/>
      <c r="AM946" s="171"/>
      <c r="AN946" s="139"/>
      <c r="AO946" s="193"/>
      <c r="AP946" s="193" t="e">
        <f t="shared" ca="1" si="586"/>
        <v>#NAME?</v>
      </c>
      <c r="AQ946" s="200"/>
      <c r="AR946" s="204"/>
      <c r="AS946" s="204"/>
      <c r="AT946" s="204"/>
      <c r="AU946" s="204"/>
      <c r="AV946" s="204"/>
    </row>
    <row r="947" spans="1:48" ht="12" customHeight="1">
      <c r="A947" s="390" t="s">
        <v>366</v>
      </c>
      <c r="B947" s="391"/>
      <c r="C947" s="391"/>
      <c r="D947" s="391"/>
      <c r="E947" s="391"/>
      <c r="F947" s="391"/>
      <c r="G947" s="391"/>
      <c r="H947" s="392"/>
      <c r="I947" s="12" t="s">
        <v>762</v>
      </c>
      <c r="J947" s="486"/>
      <c r="K947" s="300"/>
      <c r="L947" s="112">
        <f t="shared" ref="L947:S947" si="604">L949</f>
        <v>125000</v>
      </c>
      <c r="M947" s="112">
        <f t="shared" si="604"/>
        <v>16590.351051828256</v>
      </c>
      <c r="N947" s="113">
        <f t="shared" si="604"/>
        <v>130000</v>
      </c>
      <c r="O947" s="113">
        <f t="shared" si="604"/>
        <v>17253.965093901385</v>
      </c>
      <c r="P947" s="114">
        <f t="shared" si="604"/>
        <v>17920</v>
      </c>
      <c r="Q947" s="114">
        <f t="shared" si="604"/>
        <v>17920</v>
      </c>
      <c r="R947" s="88">
        <f t="shared" si="604"/>
        <v>16800</v>
      </c>
      <c r="S947" s="90" t="e">
        <f t="shared" ca="1" si="604"/>
        <v>#NAME?</v>
      </c>
      <c r="T947" s="90"/>
      <c r="U947" s="90"/>
      <c r="V947" s="200">
        <f>V949</f>
        <v>20500</v>
      </c>
      <c r="W947" s="200">
        <f>W949</f>
        <v>28500</v>
      </c>
      <c r="X947" s="88">
        <f>X949</f>
        <v>24200</v>
      </c>
      <c r="Y947" s="171">
        <f>Y949</f>
        <v>27000</v>
      </c>
      <c r="Z947" s="171">
        <f>Z949</f>
        <v>0</v>
      </c>
      <c r="AA947" s="370" t="e">
        <f t="shared" ca="1" si="587"/>
        <v>#NAME?</v>
      </c>
      <c r="AB947" s="171"/>
      <c r="AC947" s="172">
        <f>AC949</f>
        <v>19000</v>
      </c>
      <c r="AD947" s="172">
        <f>AD949</f>
        <v>19000</v>
      </c>
      <c r="AE947" s="178">
        <f>O947/M947*100</f>
        <v>103.99999999999999</v>
      </c>
      <c r="AF947" s="178">
        <f>P947/O947*100</f>
        <v>103.86018461538463</v>
      </c>
      <c r="AG947" s="178">
        <f>Q947/P947*100</f>
        <v>100</v>
      </c>
      <c r="AH947" s="178">
        <f>AC947/Q947*100</f>
        <v>106.02678571428572</v>
      </c>
      <c r="AI947" s="171"/>
      <c r="AJ947" s="171">
        <v>27000</v>
      </c>
      <c r="AK947" s="171">
        <f t="shared" si="589"/>
        <v>169.64285714285714</v>
      </c>
      <c r="AL947" s="171">
        <f t="shared" si="590"/>
        <v>84.912280701754383</v>
      </c>
      <c r="AM947" s="171">
        <f t="shared" si="590"/>
        <v>111.5702479338843</v>
      </c>
      <c r="AN947" s="90"/>
      <c r="AO947" s="193"/>
      <c r="AP947" s="193" t="e">
        <f t="shared" ca="1" si="586"/>
        <v>#NAME?</v>
      </c>
      <c r="AQ947" s="200">
        <f>AQ949</f>
        <v>28500</v>
      </c>
      <c r="AR947" s="204">
        <f t="shared" si="591"/>
        <v>122.02380952380953</v>
      </c>
      <c r="AS947" s="204">
        <f t="shared" si="592"/>
        <v>139.02439024390242</v>
      </c>
      <c r="AT947" s="204">
        <f t="shared" si="593"/>
        <v>169.64285714285714</v>
      </c>
      <c r="AU947" s="204">
        <f t="shared" si="594"/>
        <v>100</v>
      </c>
      <c r="AV947" s="204">
        <f t="shared" si="595"/>
        <v>169.64285714285714</v>
      </c>
    </row>
    <row r="948" spans="1:48" ht="12" customHeight="1">
      <c r="A948" s="69"/>
      <c r="B948" s="69"/>
      <c r="C948" s="69"/>
      <c r="D948" s="69"/>
      <c r="E948" s="69"/>
      <c r="F948" s="69"/>
      <c r="G948" s="69"/>
      <c r="H948" s="436"/>
      <c r="I948" s="3"/>
      <c r="J948" s="7"/>
      <c r="K948" s="7"/>
      <c r="L948" s="85"/>
      <c r="M948" s="85"/>
      <c r="N948" s="86"/>
      <c r="O948" s="86"/>
      <c r="P948" s="87"/>
      <c r="Q948" s="87"/>
      <c r="R948" s="160"/>
      <c r="S948" s="165" t="e">
        <f ca="1">__xlfn.XLOOKUP(H948,[1]Izvršenje_proračuna_po_pozicija!$B$2:$B$153,[1]Izvršenje_proračuna_po_pozicija!$E$2:$E$153,0)</f>
        <v>#NAME?</v>
      </c>
      <c r="T948" s="165"/>
      <c r="U948" s="165"/>
      <c r="V948" s="200"/>
      <c r="W948" s="200"/>
      <c r="X948" s="361"/>
      <c r="Y948" s="373"/>
      <c r="Z948" s="373"/>
      <c r="AA948" s="370" t="e">
        <f t="shared" ca="1" si="587"/>
        <v>#NAME?</v>
      </c>
      <c r="AB948" s="181"/>
      <c r="AC948" s="182"/>
      <c r="AD948" s="182"/>
      <c r="AE948" s="178"/>
      <c r="AF948" s="178"/>
      <c r="AG948" s="178"/>
      <c r="AH948" s="178"/>
      <c r="AI948" s="181"/>
      <c r="AJ948" s="373"/>
      <c r="AK948" s="171"/>
      <c r="AL948" s="171"/>
      <c r="AM948" s="171"/>
      <c r="AN948" s="161"/>
      <c r="AO948" s="193"/>
      <c r="AP948" s="193" t="e">
        <f t="shared" ca="1" si="586"/>
        <v>#NAME?</v>
      </c>
      <c r="AQ948" s="200"/>
      <c r="AR948" s="204"/>
      <c r="AS948" s="204"/>
      <c r="AT948" s="204"/>
      <c r="AU948" s="204"/>
      <c r="AV948" s="204"/>
    </row>
    <row r="949" spans="1:48" ht="12" customHeight="1">
      <c r="A949" s="24"/>
      <c r="B949" s="24"/>
      <c r="C949" s="24"/>
      <c r="D949" s="24"/>
      <c r="E949" s="24"/>
      <c r="F949" s="24"/>
      <c r="G949" s="24"/>
      <c r="H949" s="393"/>
      <c r="I949" s="8"/>
      <c r="J949" s="281">
        <v>3</v>
      </c>
      <c r="K949" s="2" t="s">
        <v>224</v>
      </c>
      <c r="L949" s="112">
        <f t="shared" ref="L949:AD951" si="605">L950</f>
        <v>125000</v>
      </c>
      <c r="M949" s="112">
        <f t="shared" si="605"/>
        <v>16590.351051828256</v>
      </c>
      <c r="N949" s="113">
        <f t="shared" si="605"/>
        <v>130000</v>
      </c>
      <c r="O949" s="113">
        <f t="shared" si="605"/>
        <v>17253.965093901385</v>
      </c>
      <c r="P949" s="114">
        <f t="shared" si="605"/>
        <v>17920</v>
      </c>
      <c r="Q949" s="114">
        <f t="shared" si="605"/>
        <v>17920</v>
      </c>
      <c r="R949" s="88">
        <f t="shared" si="605"/>
        <v>16800</v>
      </c>
      <c r="S949" s="90" t="e">
        <f t="shared" ca="1" si="605"/>
        <v>#NAME?</v>
      </c>
      <c r="T949" s="90"/>
      <c r="U949" s="90"/>
      <c r="V949" s="200">
        <f>V950</f>
        <v>20500</v>
      </c>
      <c r="W949" s="200">
        <f t="shared" si="605"/>
        <v>28500</v>
      </c>
      <c r="X949" s="88">
        <f t="shared" si="605"/>
        <v>24200</v>
      </c>
      <c r="Y949" s="171">
        <f t="shared" si="605"/>
        <v>27000</v>
      </c>
      <c r="Z949" s="171">
        <f t="shared" si="605"/>
        <v>0</v>
      </c>
      <c r="AA949" s="370" t="e">
        <f t="shared" ca="1" si="587"/>
        <v>#NAME?</v>
      </c>
      <c r="AB949" s="171"/>
      <c r="AC949" s="172">
        <f t="shared" si="605"/>
        <v>19000</v>
      </c>
      <c r="AD949" s="172">
        <f t="shared" si="605"/>
        <v>19000</v>
      </c>
      <c r="AE949" s="178">
        <f>O949/M949*100</f>
        <v>103.99999999999999</v>
      </c>
      <c r="AF949" s="178">
        <f t="shared" ref="AF949:AG953" si="606">P949/O949*100</f>
        <v>103.86018461538463</v>
      </c>
      <c r="AG949" s="178">
        <f t="shared" si="606"/>
        <v>100</v>
      </c>
      <c r="AH949" s="178">
        <f>AC949/Q949*100</f>
        <v>106.02678571428572</v>
      </c>
      <c r="AI949" s="171"/>
      <c r="AJ949" s="171">
        <v>27000</v>
      </c>
      <c r="AK949" s="171">
        <f t="shared" si="589"/>
        <v>169.64285714285714</v>
      </c>
      <c r="AL949" s="171">
        <f t="shared" si="590"/>
        <v>84.912280701754383</v>
      </c>
      <c r="AM949" s="171">
        <f t="shared" si="590"/>
        <v>111.5702479338843</v>
      </c>
      <c r="AN949" s="90"/>
      <c r="AO949" s="193"/>
      <c r="AP949" s="193" t="e">
        <f t="shared" ca="1" si="586"/>
        <v>#NAME?</v>
      </c>
      <c r="AQ949" s="200">
        <f>AQ950</f>
        <v>28500</v>
      </c>
      <c r="AR949" s="204">
        <f t="shared" si="591"/>
        <v>122.02380952380953</v>
      </c>
      <c r="AS949" s="204">
        <f t="shared" si="592"/>
        <v>139.02439024390242</v>
      </c>
      <c r="AT949" s="204">
        <f t="shared" si="593"/>
        <v>169.64285714285714</v>
      </c>
      <c r="AU949" s="204">
        <f t="shared" si="594"/>
        <v>100</v>
      </c>
      <c r="AV949" s="204">
        <f t="shared" si="595"/>
        <v>169.64285714285714</v>
      </c>
    </row>
    <row r="950" spans="1:48" ht="12" customHeight="1">
      <c r="A950" s="301"/>
      <c r="B950" s="301"/>
      <c r="C950" s="301"/>
      <c r="D950" s="301"/>
      <c r="E950" s="301"/>
      <c r="F950" s="301"/>
      <c r="G950" s="301"/>
      <c r="H950" s="307"/>
      <c r="I950" s="9"/>
      <c r="J950" s="302">
        <v>38</v>
      </c>
      <c r="K950" s="343" t="s">
        <v>285</v>
      </c>
      <c r="L950" s="112">
        <f t="shared" si="605"/>
        <v>125000</v>
      </c>
      <c r="M950" s="112">
        <f t="shared" si="605"/>
        <v>16590.351051828256</v>
      </c>
      <c r="N950" s="113">
        <f t="shared" si="605"/>
        <v>130000</v>
      </c>
      <c r="O950" s="113">
        <f t="shared" si="605"/>
        <v>17253.965093901385</v>
      </c>
      <c r="P950" s="114">
        <f t="shared" si="605"/>
        <v>17920</v>
      </c>
      <c r="Q950" s="114">
        <f t="shared" si="605"/>
        <v>17920</v>
      </c>
      <c r="R950" s="88">
        <f t="shared" si="605"/>
        <v>16800</v>
      </c>
      <c r="S950" s="90" t="e">
        <f t="shared" ca="1" si="605"/>
        <v>#NAME?</v>
      </c>
      <c r="T950" s="90"/>
      <c r="U950" s="90"/>
      <c r="V950" s="200">
        <f>V951</f>
        <v>20500</v>
      </c>
      <c r="W950" s="200">
        <f t="shared" si="605"/>
        <v>28500</v>
      </c>
      <c r="X950" s="88">
        <f t="shared" si="605"/>
        <v>24200</v>
      </c>
      <c r="Y950" s="171">
        <f t="shared" si="605"/>
        <v>27000</v>
      </c>
      <c r="Z950" s="171">
        <f t="shared" si="605"/>
        <v>0</v>
      </c>
      <c r="AA950" s="370" t="e">
        <f t="shared" ca="1" si="587"/>
        <v>#NAME?</v>
      </c>
      <c r="AB950" s="171"/>
      <c r="AC950" s="172">
        <f t="shared" si="605"/>
        <v>19000</v>
      </c>
      <c r="AD950" s="172">
        <f t="shared" si="605"/>
        <v>19000</v>
      </c>
      <c r="AE950" s="178">
        <f>O950/M950*100</f>
        <v>103.99999999999999</v>
      </c>
      <c r="AF950" s="178">
        <f t="shared" si="606"/>
        <v>103.86018461538463</v>
      </c>
      <c r="AG950" s="178">
        <f t="shared" si="606"/>
        <v>100</v>
      </c>
      <c r="AH950" s="178">
        <f>AC950/Q950*100</f>
        <v>106.02678571428572</v>
      </c>
      <c r="AI950" s="171"/>
      <c r="AJ950" s="171">
        <v>27000</v>
      </c>
      <c r="AK950" s="171">
        <f t="shared" si="589"/>
        <v>169.64285714285714</v>
      </c>
      <c r="AL950" s="171">
        <f t="shared" si="590"/>
        <v>84.912280701754383</v>
      </c>
      <c r="AM950" s="171">
        <f t="shared" si="590"/>
        <v>111.5702479338843</v>
      </c>
      <c r="AN950" s="90"/>
      <c r="AO950" s="193"/>
      <c r="AP950" s="193" t="e">
        <f t="shared" ca="1" si="586"/>
        <v>#NAME?</v>
      </c>
      <c r="AQ950" s="200">
        <f>AQ951</f>
        <v>28500</v>
      </c>
      <c r="AR950" s="204">
        <f t="shared" si="591"/>
        <v>122.02380952380953</v>
      </c>
      <c r="AS950" s="204">
        <f t="shared" si="592"/>
        <v>139.02439024390242</v>
      </c>
      <c r="AT950" s="204">
        <f t="shared" si="593"/>
        <v>169.64285714285714</v>
      </c>
      <c r="AU950" s="204">
        <f t="shared" si="594"/>
        <v>100</v>
      </c>
      <c r="AV950" s="204">
        <f t="shared" si="595"/>
        <v>169.64285714285714</v>
      </c>
    </row>
    <row r="951" spans="1:48" ht="12" customHeight="1">
      <c r="A951" s="62"/>
      <c r="B951" s="62"/>
      <c r="C951" s="62"/>
      <c r="D951" s="62"/>
      <c r="E951" s="62"/>
      <c r="F951" s="62"/>
      <c r="G951" s="62"/>
      <c r="H951" s="304"/>
      <c r="I951" s="10"/>
      <c r="J951" s="303">
        <v>381</v>
      </c>
      <c r="K951" s="19" t="s">
        <v>407</v>
      </c>
      <c r="L951" s="112">
        <f t="shared" si="605"/>
        <v>125000</v>
      </c>
      <c r="M951" s="112">
        <f t="shared" si="605"/>
        <v>16590.351051828256</v>
      </c>
      <c r="N951" s="113">
        <f t="shared" si="605"/>
        <v>130000</v>
      </c>
      <c r="O951" s="113">
        <f t="shared" si="605"/>
        <v>17253.965093901385</v>
      </c>
      <c r="P951" s="114">
        <f t="shared" si="605"/>
        <v>17920</v>
      </c>
      <c r="Q951" s="114">
        <f t="shared" si="605"/>
        <v>17920</v>
      </c>
      <c r="R951" s="88">
        <f t="shared" si="605"/>
        <v>16800</v>
      </c>
      <c r="S951" s="90" t="e">
        <f t="shared" ca="1" si="605"/>
        <v>#NAME?</v>
      </c>
      <c r="T951" s="90"/>
      <c r="U951" s="90"/>
      <c r="V951" s="200">
        <f>V952</f>
        <v>20500</v>
      </c>
      <c r="W951" s="200">
        <f t="shared" si="605"/>
        <v>28500</v>
      </c>
      <c r="X951" s="88">
        <f t="shared" si="605"/>
        <v>24200</v>
      </c>
      <c r="Y951" s="171">
        <f t="shared" si="605"/>
        <v>27000</v>
      </c>
      <c r="Z951" s="171">
        <f t="shared" si="605"/>
        <v>0</v>
      </c>
      <c r="AA951" s="370" t="e">
        <f t="shared" ca="1" si="587"/>
        <v>#NAME?</v>
      </c>
      <c r="AB951" s="171"/>
      <c r="AC951" s="172">
        <f t="shared" si="605"/>
        <v>19000</v>
      </c>
      <c r="AD951" s="172">
        <f t="shared" si="605"/>
        <v>19000</v>
      </c>
      <c r="AE951" s="178">
        <f>O951/M951*100</f>
        <v>103.99999999999999</v>
      </c>
      <c r="AF951" s="178">
        <f t="shared" si="606"/>
        <v>103.86018461538463</v>
      </c>
      <c r="AG951" s="178">
        <f t="shared" si="606"/>
        <v>100</v>
      </c>
      <c r="AH951" s="178">
        <f>AC951/Q951*100</f>
        <v>106.02678571428572</v>
      </c>
      <c r="AI951" s="171"/>
      <c r="AJ951" s="171">
        <v>27000</v>
      </c>
      <c r="AK951" s="171">
        <f t="shared" si="589"/>
        <v>169.64285714285714</v>
      </c>
      <c r="AL951" s="171">
        <f t="shared" si="590"/>
        <v>84.912280701754383</v>
      </c>
      <c r="AM951" s="171">
        <f t="shared" si="590"/>
        <v>111.5702479338843</v>
      </c>
      <c r="AN951" s="90"/>
      <c r="AO951" s="193"/>
      <c r="AP951" s="193" t="e">
        <f t="shared" ca="1" si="586"/>
        <v>#NAME?</v>
      </c>
      <c r="AQ951" s="200">
        <f>AQ952</f>
        <v>28500</v>
      </c>
      <c r="AR951" s="204">
        <f t="shared" si="591"/>
        <v>122.02380952380953</v>
      </c>
      <c r="AS951" s="204">
        <f t="shared" si="592"/>
        <v>139.02439024390242</v>
      </c>
      <c r="AT951" s="204">
        <f t="shared" si="593"/>
        <v>169.64285714285714</v>
      </c>
      <c r="AU951" s="204">
        <f t="shared" si="594"/>
        <v>100</v>
      </c>
      <c r="AV951" s="204">
        <f t="shared" si="595"/>
        <v>169.64285714285714</v>
      </c>
    </row>
    <row r="952" spans="1:48" ht="12" customHeight="1">
      <c r="A952" s="53"/>
      <c r="B952" s="53"/>
      <c r="C952" s="53"/>
      <c r="D952" s="53"/>
      <c r="E952" s="53"/>
      <c r="F952" s="53"/>
      <c r="G952" s="53"/>
      <c r="H952" s="1"/>
      <c r="I952" s="6"/>
      <c r="J952" s="229">
        <v>3811</v>
      </c>
      <c r="K952" s="18" t="s">
        <v>286</v>
      </c>
      <c r="L952" s="112">
        <v>125000</v>
      </c>
      <c r="M952" s="112">
        <f>125000/7.5345</f>
        <v>16590.351051828256</v>
      </c>
      <c r="N952" s="113">
        <v>130000</v>
      </c>
      <c r="O952" s="113">
        <f>N952/7.5345</f>
        <v>17253.965093901385</v>
      </c>
      <c r="P952" s="114">
        <v>17920</v>
      </c>
      <c r="Q952" s="114">
        <v>17920</v>
      </c>
      <c r="R952" s="88">
        <f t="shared" ref="R952:Z952" si="607">R953+R954+R955+R956+R957+R958+R960+R961</f>
        <v>16800</v>
      </c>
      <c r="S952" s="90" t="e">
        <f t="shared" ca="1" si="607"/>
        <v>#NAME?</v>
      </c>
      <c r="T952" s="90"/>
      <c r="U952" s="90"/>
      <c r="V952" s="200">
        <f t="shared" si="607"/>
        <v>20500</v>
      </c>
      <c r="W952" s="200">
        <f t="shared" si="607"/>
        <v>28500</v>
      </c>
      <c r="X952" s="88">
        <f t="shared" si="607"/>
        <v>24200</v>
      </c>
      <c r="Y952" s="171">
        <f t="shared" si="607"/>
        <v>27000</v>
      </c>
      <c r="Z952" s="171">
        <f t="shared" si="607"/>
        <v>0</v>
      </c>
      <c r="AA952" s="370" t="e">
        <f t="shared" ca="1" si="587"/>
        <v>#NAME?</v>
      </c>
      <c r="AB952" s="171"/>
      <c r="AC952" s="172">
        <v>19000</v>
      </c>
      <c r="AD952" s="172">
        <v>19000</v>
      </c>
      <c r="AE952" s="178">
        <f>O952/M952*100</f>
        <v>103.99999999999999</v>
      </c>
      <c r="AF952" s="178">
        <f t="shared" si="606"/>
        <v>103.86018461538463</v>
      </c>
      <c r="AG952" s="178">
        <f t="shared" si="606"/>
        <v>100</v>
      </c>
      <c r="AH952" s="178">
        <f>AC952/Q952*100</f>
        <v>106.02678571428572</v>
      </c>
      <c r="AI952" s="171"/>
      <c r="AJ952" s="171">
        <v>27000</v>
      </c>
      <c r="AK952" s="171">
        <f t="shared" si="589"/>
        <v>169.64285714285714</v>
      </c>
      <c r="AL952" s="171">
        <f t="shared" si="590"/>
        <v>84.912280701754383</v>
      </c>
      <c r="AM952" s="171">
        <f t="shared" si="590"/>
        <v>111.5702479338843</v>
      </c>
      <c r="AN952" s="90"/>
      <c r="AO952" s="193"/>
      <c r="AP952" s="193" t="e">
        <f t="shared" ca="1" si="586"/>
        <v>#NAME?</v>
      </c>
      <c r="AQ952" s="200">
        <f>AQ953+AQ954+AQ955+AQ956+AQ957+AQ958+AQ960+AQ961</f>
        <v>28500</v>
      </c>
      <c r="AR952" s="204">
        <f t="shared" si="591"/>
        <v>122.02380952380953</v>
      </c>
      <c r="AS952" s="204">
        <f t="shared" si="592"/>
        <v>139.02439024390242</v>
      </c>
      <c r="AT952" s="204">
        <f t="shared" si="593"/>
        <v>169.64285714285714</v>
      </c>
      <c r="AU952" s="204">
        <f t="shared" si="594"/>
        <v>100</v>
      </c>
      <c r="AV952" s="204">
        <f t="shared" si="595"/>
        <v>169.64285714285714</v>
      </c>
    </row>
    <row r="953" spans="1:48" ht="12" customHeight="1">
      <c r="A953" s="53"/>
      <c r="B953" s="53"/>
      <c r="C953" s="53"/>
      <c r="D953" s="53"/>
      <c r="E953" s="53"/>
      <c r="F953" s="53"/>
      <c r="G953" s="53"/>
      <c r="H953" s="1">
        <v>165</v>
      </c>
      <c r="I953" s="6">
        <v>1090</v>
      </c>
      <c r="J953" s="229">
        <v>3811</v>
      </c>
      <c r="K953" s="18" t="s">
        <v>763</v>
      </c>
      <c r="L953" s="130">
        <v>70000</v>
      </c>
      <c r="M953" s="130">
        <f>70000/7.5345</f>
        <v>9290.596589023824</v>
      </c>
      <c r="N953" s="131">
        <v>75000</v>
      </c>
      <c r="O953" s="131">
        <f>75000/7.5345</f>
        <v>9954.2106310969539</v>
      </c>
      <c r="P953" s="132">
        <v>10620</v>
      </c>
      <c r="Q953" s="132">
        <v>10000</v>
      </c>
      <c r="R953" s="159">
        <v>10000</v>
      </c>
      <c r="S953" s="165" t="e">
        <f ca="1">__xlfn.XLOOKUP(H953,[1]Izvršenje_proračuna_po_pozicija!$B$2:$B$153,[1]Izvršenje_proračuna_po_pozicija!$E$2:$E$153,0)</f>
        <v>#NAME?</v>
      </c>
      <c r="T953" s="165"/>
      <c r="U953" s="165"/>
      <c r="V953" s="200">
        <v>11700</v>
      </c>
      <c r="W953" s="200">
        <v>11700</v>
      </c>
      <c r="X953" s="164">
        <v>14000</v>
      </c>
      <c r="Y953" s="378">
        <v>15000</v>
      </c>
      <c r="Z953" s="378"/>
      <c r="AA953" s="370" t="e">
        <f t="shared" ca="1" si="587"/>
        <v>#NAME?</v>
      </c>
      <c r="AB953" s="183"/>
      <c r="AC953" s="178">
        <v>10620</v>
      </c>
      <c r="AD953" s="178">
        <v>10620</v>
      </c>
      <c r="AE953" s="178">
        <f>O953/M953*100</f>
        <v>107.14285714285714</v>
      </c>
      <c r="AF953" s="178">
        <f t="shared" si="606"/>
        <v>106.68852</v>
      </c>
      <c r="AG953" s="178">
        <f t="shared" si="606"/>
        <v>94.161958568738228</v>
      </c>
      <c r="AH953" s="178">
        <f>AC953/Q953*100</f>
        <v>106.2</v>
      </c>
      <c r="AI953" s="183"/>
      <c r="AJ953" s="378">
        <v>15000</v>
      </c>
      <c r="AK953" s="171">
        <f t="shared" si="589"/>
        <v>117</v>
      </c>
      <c r="AL953" s="171">
        <f t="shared" si="590"/>
        <v>119.65811965811966</v>
      </c>
      <c r="AM953" s="171">
        <f t="shared" si="590"/>
        <v>107.14285714285714</v>
      </c>
      <c r="AN953" s="165"/>
      <c r="AO953" s="193"/>
      <c r="AP953" s="193" t="e">
        <f t="shared" ca="1" si="586"/>
        <v>#NAME?</v>
      </c>
      <c r="AQ953" s="200">
        <v>11700</v>
      </c>
      <c r="AR953" s="204">
        <f t="shared" si="591"/>
        <v>117</v>
      </c>
      <c r="AS953" s="204">
        <f t="shared" si="592"/>
        <v>100</v>
      </c>
      <c r="AT953" s="204">
        <f t="shared" si="593"/>
        <v>117</v>
      </c>
      <c r="AU953" s="204">
        <f t="shared" si="594"/>
        <v>100</v>
      </c>
      <c r="AV953" s="204">
        <f t="shared" si="595"/>
        <v>117</v>
      </c>
    </row>
    <row r="954" spans="1:48" ht="12" customHeight="1">
      <c r="A954" s="53"/>
      <c r="B954" s="53"/>
      <c r="C954" s="53"/>
      <c r="D954" s="53"/>
      <c r="E954" s="53"/>
      <c r="F954" s="53"/>
      <c r="G954" s="53"/>
      <c r="H954" s="1" t="s">
        <v>764</v>
      </c>
      <c r="I954" s="6">
        <v>1090</v>
      </c>
      <c r="J954" s="229">
        <v>3811</v>
      </c>
      <c r="K954" s="18" t="s">
        <v>765</v>
      </c>
      <c r="L954" s="130"/>
      <c r="M954" s="130"/>
      <c r="N954" s="131"/>
      <c r="O954" s="131"/>
      <c r="P954" s="132"/>
      <c r="Q954" s="132"/>
      <c r="R954" s="159"/>
      <c r="S954" s="165" t="e">
        <f ca="1">__xlfn.XLOOKUP(H954,[1]Izvršenje_proračuna_po_pozicija!$B$2:$B$153,[1]Izvršenje_proračuna_po_pozicija!$E$2:$E$153,0)</f>
        <v>#NAME?</v>
      </c>
      <c r="T954" s="165"/>
      <c r="U954" s="165"/>
      <c r="V954" s="200"/>
      <c r="W954" s="200"/>
      <c r="X954" s="164"/>
      <c r="Y954" s="378"/>
      <c r="Z954" s="378"/>
      <c r="AA954" s="370" t="e">
        <f t="shared" ca="1" si="587"/>
        <v>#NAME?</v>
      </c>
      <c r="AB954" s="183"/>
      <c r="AC954" s="178"/>
      <c r="AD954" s="178"/>
      <c r="AE954" s="178"/>
      <c r="AF954" s="178"/>
      <c r="AG954" s="178"/>
      <c r="AH954" s="178"/>
      <c r="AI954" s="183"/>
      <c r="AJ954" s="378"/>
      <c r="AK954" s="171"/>
      <c r="AL954" s="171"/>
      <c r="AM954" s="171"/>
      <c r="AN954" s="165"/>
      <c r="AO954" s="193"/>
      <c r="AP954" s="193" t="e">
        <f t="shared" ca="1" si="586"/>
        <v>#NAME?</v>
      </c>
      <c r="AQ954" s="200"/>
      <c r="AR954" s="204"/>
      <c r="AS954" s="204"/>
      <c r="AT954" s="204"/>
      <c r="AU954" s="204"/>
      <c r="AV954" s="204"/>
    </row>
    <row r="955" spans="1:48" ht="12" customHeight="1">
      <c r="A955" s="53"/>
      <c r="B955" s="53"/>
      <c r="C955" s="53"/>
      <c r="D955" s="53"/>
      <c r="E955" s="53"/>
      <c r="F955" s="53"/>
      <c r="G955" s="53"/>
      <c r="H955" s="1" t="s">
        <v>766</v>
      </c>
      <c r="I955" s="6">
        <v>1090</v>
      </c>
      <c r="J955" s="229">
        <v>3811</v>
      </c>
      <c r="K955" s="18" t="s">
        <v>767</v>
      </c>
      <c r="L955" s="130"/>
      <c r="M955" s="130"/>
      <c r="N955" s="131"/>
      <c r="O955" s="131"/>
      <c r="P955" s="132"/>
      <c r="Q955" s="132"/>
      <c r="R955" s="159"/>
      <c r="S955" s="165" t="e">
        <f ca="1">__xlfn.XLOOKUP(H955,[1]Izvršenje_proračuna_po_pozicija!$B$2:$B$153,[1]Izvršenje_proračuna_po_pozicija!$E$2:$E$153,0)</f>
        <v>#NAME?</v>
      </c>
      <c r="T955" s="165"/>
      <c r="U955" s="165"/>
      <c r="V955" s="200"/>
      <c r="W955" s="200"/>
      <c r="X955" s="164"/>
      <c r="Y955" s="378"/>
      <c r="Z955" s="378"/>
      <c r="AA955" s="370" t="e">
        <f t="shared" ca="1" si="587"/>
        <v>#NAME?</v>
      </c>
      <c r="AB955" s="183"/>
      <c r="AC955" s="178"/>
      <c r="AD955" s="178"/>
      <c r="AE955" s="178"/>
      <c r="AF955" s="178"/>
      <c r="AG955" s="178"/>
      <c r="AH955" s="178"/>
      <c r="AI955" s="183"/>
      <c r="AJ955" s="378"/>
      <c r="AK955" s="171"/>
      <c r="AL955" s="171"/>
      <c r="AM955" s="171"/>
      <c r="AN955" s="165"/>
      <c r="AO955" s="193"/>
      <c r="AP955" s="193" t="e">
        <f t="shared" ca="1" si="586"/>
        <v>#NAME?</v>
      </c>
      <c r="AQ955" s="200"/>
      <c r="AR955" s="204"/>
      <c r="AS955" s="204"/>
      <c r="AT955" s="204"/>
      <c r="AU955" s="204"/>
      <c r="AV955" s="204"/>
    </row>
    <row r="956" spans="1:48" ht="12" customHeight="1">
      <c r="A956" s="53"/>
      <c r="B956" s="53"/>
      <c r="C956" s="53"/>
      <c r="D956" s="53"/>
      <c r="E956" s="53"/>
      <c r="F956" s="53"/>
      <c r="G956" s="53"/>
      <c r="H956" s="511" t="s">
        <v>768</v>
      </c>
      <c r="I956" s="15">
        <v>1090</v>
      </c>
      <c r="J956" s="513">
        <v>3811</v>
      </c>
      <c r="K956" s="514" t="s">
        <v>769</v>
      </c>
      <c r="L956" s="497"/>
      <c r="M956" s="497"/>
      <c r="N956" s="498"/>
      <c r="O956" s="498"/>
      <c r="P956" s="499"/>
      <c r="Q956" s="499"/>
      <c r="R956" s="501">
        <v>0</v>
      </c>
      <c r="S956" s="165" t="e">
        <f ca="1">__xlfn.XLOOKUP(H956,[1]Izvršenje_proračuna_po_pozicija!$B$2:$B$153,[1]Izvršenje_proračuna_po_pozicija!$E$2:$E$153,0)</f>
        <v>#NAME?</v>
      </c>
      <c r="T956" s="502"/>
      <c r="U956" s="502"/>
      <c r="V956" s="200"/>
      <c r="W956" s="200"/>
      <c r="X956" s="503"/>
      <c r="Y956" s="504"/>
      <c r="Z956" s="504"/>
      <c r="AA956" s="370" t="e">
        <f t="shared" ca="1" si="587"/>
        <v>#NAME?</v>
      </c>
      <c r="AB956" s="505"/>
      <c r="AC956" s="506"/>
      <c r="AD956" s="506"/>
      <c r="AE956" s="178"/>
      <c r="AF956" s="178"/>
      <c r="AG956" s="178"/>
      <c r="AH956" s="178"/>
      <c r="AI956" s="505"/>
      <c r="AJ956" s="504"/>
      <c r="AK956" s="171"/>
      <c r="AL956" s="171"/>
      <c r="AM956" s="171"/>
      <c r="AN956" s="502"/>
      <c r="AO956" s="193"/>
      <c r="AP956" s="193" t="e">
        <f t="shared" ca="1" si="586"/>
        <v>#NAME?</v>
      </c>
      <c r="AQ956" s="200"/>
      <c r="AR956" s="204"/>
      <c r="AS956" s="204"/>
      <c r="AT956" s="204"/>
      <c r="AU956" s="204"/>
      <c r="AV956" s="204"/>
    </row>
    <row r="957" spans="1:48" ht="12" customHeight="1">
      <c r="A957" s="209"/>
      <c r="B957" s="209"/>
      <c r="C957" s="209"/>
      <c r="D957" s="209"/>
      <c r="E957" s="209"/>
      <c r="F957" s="209"/>
      <c r="G957" s="209"/>
      <c r="H957" s="512" t="s">
        <v>770</v>
      </c>
      <c r="I957" s="515">
        <v>1090</v>
      </c>
      <c r="J957" s="352">
        <v>3811</v>
      </c>
      <c r="K957" s="353" t="s">
        <v>771</v>
      </c>
      <c r="L957" s="354">
        <v>10000</v>
      </c>
      <c r="M957" s="354">
        <f>10000/7.5345</f>
        <v>1327.2280841462605</v>
      </c>
      <c r="N957" s="355"/>
      <c r="O957" s="355"/>
      <c r="P957" s="356"/>
      <c r="Q957" s="356"/>
      <c r="R957" s="363">
        <v>800</v>
      </c>
      <c r="S957" s="165" t="e">
        <f ca="1">__xlfn.XLOOKUP(H957,[1]Izvršenje_proračuna_po_pozicija!$B$2:$B$153,[1]Izvršenje_proračuna_po_pozicija!$E$2:$E$153,0)</f>
        <v>#NAME?</v>
      </c>
      <c r="T957" s="364"/>
      <c r="U957" s="364"/>
      <c r="V957" s="200"/>
      <c r="W957" s="200"/>
      <c r="X957" s="365"/>
      <c r="Y957" s="382"/>
      <c r="Z957" s="382"/>
      <c r="AA957" s="370" t="e">
        <f t="shared" ca="1" si="587"/>
        <v>#NAME?</v>
      </c>
      <c r="AB957" s="383"/>
      <c r="AC957" s="366"/>
      <c r="AD957" s="366"/>
      <c r="AE957" s="178">
        <f>O957/M957*100</f>
        <v>0</v>
      </c>
      <c r="AF957" s="178"/>
      <c r="AG957" s="178"/>
      <c r="AH957" s="178"/>
      <c r="AI957" s="383"/>
      <c r="AJ957" s="382"/>
      <c r="AK957" s="171">
        <f t="shared" si="589"/>
        <v>0</v>
      </c>
      <c r="AL957" s="171"/>
      <c r="AM957" s="171"/>
      <c r="AN957" s="364"/>
      <c r="AO957" s="193"/>
      <c r="AP957" s="193" t="e">
        <f t="shared" ca="1" si="586"/>
        <v>#NAME?</v>
      </c>
      <c r="AQ957" s="200"/>
      <c r="AR957" s="204">
        <f t="shared" si="591"/>
        <v>0</v>
      </c>
      <c r="AS957" s="204"/>
      <c r="AT957" s="204">
        <f t="shared" si="593"/>
        <v>0</v>
      </c>
      <c r="AU957" s="204"/>
      <c r="AV957" s="204">
        <f t="shared" si="595"/>
        <v>0</v>
      </c>
    </row>
    <row r="958" spans="1:48" ht="12" customHeight="1">
      <c r="A958" s="209"/>
      <c r="B958" s="209"/>
      <c r="C958" s="209"/>
      <c r="D958" s="209"/>
      <c r="E958" s="209"/>
      <c r="F958" s="209"/>
      <c r="G958" s="209"/>
      <c r="H958" s="21" t="s">
        <v>772</v>
      </c>
      <c r="I958" s="6">
        <v>1090</v>
      </c>
      <c r="J958" s="229">
        <v>3811</v>
      </c>
      <c r="K958" s="18" t="s">
        <v>773</v>
      </c>
      <c r="L958" s="130">
        <v>40000</v>
      </c>
      <c r="M958" s="130">
        <f>40000/7.5345</f>
        <v>5308.9123365850419</v>
      </c>
      <c r="N958" s="131"/>
      <c r="O958" s="131"/>
      <c r="P958" s="132"/>
      <c r="Q958" s="132"/>
      <c r="R958" s="159">
        <v>6000</v>
      </c>
      <c r="S958" s="165" t="e">
        <f ca="1">__xlfn.XLOOKUP(H958,[1]Izvršenje_proračuna_po_pozicija!$B$2:$B$153,[1]Izvršenje_proračuna_po_pozicija!$E$2:$E$153,0)</f>
        <v>#NAME?</v>
      </c>
      <c r="T958" s="165"/>
      <c r="U958" s="165"/>
      <c r="V958" s="200"/>
      <c r="W958" s="200"/>
      <c r="X958" s="164"/>
      <c r="Y958" s="378"/>
      <c r="Z958" s="378"/>
      <c r="AA958" s="370" t="e">
        <f t="shared" ca="1" si="587"/>
        <v>#NAME?</v>
      </c>
      <c r="AB958" s="183"/>
      <c r="AC958" s="178"/>
      <c r="AD958" s="178"/>
      <c r="AE958" s="178">
        <f>O958/M958*100</f>
        <v>0</v>
      </c>
      <c r="AF958" s="178"/>
      <c r="AG958" s="178"/>
      <c r="AH958" s="178"/>
      <c r="AI958" s="183"/>
      <c r="AJ958" s="378"/>
      <c r="AK958" s="171">
        <f t="shared" si="589"/>
        <v>0</v>
      </c>
      <c r="AL958" s="171"/>
      <c r="AM958" s="171"/>
      <c r="AN958" s="165"/>
      <c r="AO958" s="193"/>
      <c r="AP958" s="193" t="e">
        <f t="shared" ca="1" si="586"/>
        <v>#NAME?</v>
      </c>
      <c r="AQ958" s="200"/>
      <c r="AR958" s="204">
        <f t="shared" si="591"/>
        <v>0</v>
      </c>
      <c r="AS958" s="204"/>
      <c r="AT958" s="204">
        <f t="shared" si="593"/>
        <v>0</v>
      </c>
      <c r="AU958" s="204"/>
      <c r="AV958" s="204">
        <f t="shared" si="595"/>
        <v>0</v>
      </c>
    </row>
    <row r="959" spans="1:48" ht="12" customHeight="1">
      <c r="A959" s="42"/>
      <c r="B959" s="42"/>
      <c r="C959" s="42"/>
      <c r="D959" s="42"/>
      <c r="E959" s="42"/>
      <c r="F959" s="42"/>
      <c r="G959" s="42"/>
      <c r="H959" s="308"/>
      <c r="I959" s="14"/>
      <c r="J959" s="2"/>
      <c r="K959" s="84"/>
      <c r="L959" s="85">
        <v>1</v>
      </c>
      <c r="M959" s="85">
        <v>2</v>
      </c>
      <c r="N959" s="86">
        <v>3</v>
      </c>
      <c r="O959" s="86">
        <v>4</v>
      </c>
      <c r="P959" s="87">
        <v>5</v>
      </c>
      <c r="Q959" s="87">
        <v>6</v>
      </c>
      <c r="R959" s="160"/>
      <c r="S959" s="165" t="e">
        <f ca="1">__xlfn.XLOOKUP(H959,[1]Izvršenje_proračuna_po_pozicija!$B$2:$B$153,[1]Izvršenje_proračuna_po_pozicija!$E$2:$E$153,0)</f>
        <v>#NAME?</v>
      </c>
      <c r="T959" s="165"/>
      <c r="U959" s="165"/>
      <c r="V959" s="200"/>
      <c r="W959" s="200"/>
      <c r="X959" s="361"/>
      <c r="Y959" s="373"/>
      <c r="Z959" s="373"/>
      <c r="AA959" s="370" t="e">
        <f t="shared" ca="1" si="587"/>
        <v>#NAME?</v>
      </c>
      <c r="AB959" s="181"/>
      <c r="AC959" s="182">
        <v>7</v>
      </c>
      <c r="AD959" s="182">
        <v>8</v>
      </c>
      <c r="AE959" s="182">
        <v>9</v>
      </c>
      <c r="AF959" s="182">
        <v>10</v>
      </c>
      <c r="AG959" s="182">
        <v>11</v>
      </c>
      <c r="AH959" s="182">
        <v>12</v>
      </c>
      <c r="AI959" s="181"/>
      <c r="AJ959" s="373"/>
      <c r="AK959" s="171"/>
      <c r="AL959" s="171"/>
      <c r="AM959" s="171"/>
      <c r="AN959" s="161"/>
      <c r="AO959" s="193"/>
      <c r="AP959" s="193" t="e">
        <f t="shared" ca="1" si="586"/>
        <v>#NAME?</v>
      </c>
      <c r="AQ959" s="200"/>
      <c r="AR959" s="204"/>
      <c r="AS959" s="204"/>
      <c r="AT959" s="204"/>
      <c r="AU959" s="204"/>
      <c r="AV959" s="204"/>
    </row>
    <row r="960" spans="1:48" ht="12" customHeight="1">
      <c r="A960" s="209"/>
      <c r="B960" s="209"/>
      <c r="C960" s="209"/>
      <c r="D960" s="209"/>
      <c r="E960" s="209"/>
      <c r="F960" s="209"/>
      <c r="G960" s="209"/>
      <c r="H960" s="21" t="s">
        <v>774</v>
      </c>
      <c r="I960" s="6">
        <v>1090</v>
      </c>
      <c r="J960" s="229">
        <v>3811</v>
      </c>
      <c r="K960" s="18" t="s">
        <v>775</v>
      </c>
      <c r="L960" s="130">
        <v>5000</v>
      </c>
      <c r="M960" s="130">
        <f>5000/7.5345</f>
        <v>663.61404207313024</v>
      </c>
      <c r="N960" s="131"/>
      <c r="O960" s="131"/>
      <c r="P960" s="132"/>
      <c r="Q960" s="132"/>
      <c r="R960" s="159"/>
      <c r="S960" s="165" t="e">
        <f ca="1">__xlfn.XLOOKUP(#REF!,[1]Izvršenje_proračuna_po_pozicija!$B$2:$B$153,[1]Izvršenje_proračuna_po_pozicija!$E$2:$E$153,0)</f>
        <v>#NAME?</v>
      </c>
      <c r="T960" s="165"/>
      <c r="U960" s="165"/>
      <c r="V960" s="200">
        <v>8800</v>
      </c>
      <c r="W960" s="200">
        <v>16800</v>
      </c>
      <c r="X960" s="164">
        <v>10200</v>
      </c>
      <c r="Y960" s="378">
        <v>12000</v>
      </c>
      <c r="Z960" s="378"/>
      <c r="AA960" s="370" t="e">
        <f t="shared" ca="1" si="587"/>
        <v>#NAME?</v>
      </c>
      <c r="AB960" s="183"/>
      <c r="AC960" s="178"/>
      <c r="AD960" s="178"/>
      <c r="AE960" s="178">
        <f>O960/M960*100</f>
        <v>0</v>
      </c>
      <c r="AF960" s="178"/>
      <c r="AG960" s="178"/>
      <c r="AH960" s="178"/>
      <c r="AI960" s="183"/>
      <c r="AJ960" s="378">
        <v>12000</v>
      </c>
      <c r="AK960" s="171"/>
      <c r="AL960" s="171">
        <f t="shared" si="590"/>
        <v>60.714285714285708</v>
      </c>
      <c r="AM960" s="171">
        <f t="shared" si="590"/>
        <v>117.64705882352942</v>
      </c>
      <c r="AN960" s="165"/>
      <c r="AO960" s="193"/>
      <c r="AP960" s="193" t="e">
        <f t="shared" ca="1" si="586"/>
        <v>#NAME?</v>
      </c>
      <c r="AQ960" s="200">
        <v>16800</v>
      </c>
      <c r="AR960" s="204"/>
      <c r="AS960" s="204">
        <f t="shared" si="592"/>
        <v>190.90909090909091</v>
      </c>
      <c r="AT960" s="204"/>
      <c r="AU960" s="204">
        <f t="shared" si="594"/>
        <v>100</v>
      </c>
      <c r="AV960" s="204"/>
    </row>
    <row r="961" spans="1:48" ht="12" customHeight="1">
      <c r="A961" s="209"/>
      <c r="B961" s="209"/>
      <c r="C961" s="209"/>
      <c r="D961" s="209"/>
      <c r="E961" s="209"/>
      <c r="F961" s="209"/>
      <c r="G961" s="209"/>
      <c r="H961" s="21" t="s">
        <v>776</v>
      </c>
      <c r="I961" s="6">
        <v>1090</v>
      </c>
      <c r="J961" s="229">
        <v>3811</v>
      </c>
      <c r="K961" s="279" t="s">
        <v>711</v>
      </c>
      <c r="L961" s="130"/>
      <c r="M961" s="130"/>
      <c r="N961" s="131"/>
      <c r="O961" s="131"/>
      <c r="P961" s="132"/>
      <c r="Q961" s="132"/>
      <c r="R961" s="159"/>
      <c r="S961" s="165" t="e">
        <f ca="1">__xlfn.XLOOKUP(H961,[1]Izvršenje_proračuna_po_pozicija!$B$2:$B$153,[1]Izvršenje_proračuna_po_pozicija!$E$2:$E$153,0)</f>
        <v>#NAME?</v>
      </c>
      <c r="T961" s="165"/>
      <c r="U961" s="165"/>
      <c r="V961" s="200"/>
      <c r="W961" s="200"/>
      <c r="X961" s="164"/>
      <c r="Y961" s="378"/>
      <c r="Z961" s="378"/>
      <c r="AA961" s="370" t="e">
        <f t="shared" ca="1" si="587"/>
        <v>#NAME?</v>
      </c>
      <c r="AB961" s="183"/>
      <c r="AC961" s="178"/>
      <c r="AD961" s="178"/>
      <c r="AE961" s="178"/>
      <c r="AF961" s="178"/>
      <c r="AG961" s="178"/>
      <c r="AH961" s="178"/>
      <c r="AI961" s="183"/>
      <c r="AJ961" s="378"/>
      <c r="AK961" s="171"/>
      <c r="AL961" s="171"/>
      <c r="AM961" s="171"/>
      <c r="AN961" s="165"/>
      <c r="AO961" s="193"/>
      <c r="AP961" s="193" t="e">
        <f t="shared" ca="1" si="586"/>
        <v>#NAME?</v>
      </c>
      <c r="AQ961" s="200"/>
      <c r="AR961" s="204"/>
      <c r="AS961" s="204"/>
      <c r="AT961" s="204"/>
      <c r="AU961" s="204"/>
      <c r="AV961" s="204"/>
    </row>
    <row r="962" spans="1:48" s="25" customFormat="1" ht="12" customHeight="1">
      <c r="A962" s="42"/>
      <c r="B962" s="42"/>
      <c r="C962" s="42"/>
      <c r="D962" s="42"/>
      <c r="E962" s="42"/>
      <c r="F962" s="42"/>
      <c r="G962" s="42"/>
      <c r="I962" s="515"/>
      <c r="J962" s="352"/>
      <c r="K962" s="84"/>
      <c r="L962" s="85"/>
      <c r="M962" s="85"/>
      <c r="N962" s="86"/>
      <c r="O962" s="86"/>
      <c r="P962" s="87"/>
      <c r="Q962" s="87"/>
      <c r="R962" s="160"/>
      <c r="S962" s="165" t="e">
        <f ca="1">__xlfn.XLOOKUP(H960,[1]Izvršenje_proračuna_po_pozicija!$B$2:$B$153,[1]Izvršenje_proračuna_po_pozicija!$E$2:$E$153,0)</f>
        <v>#NAME?</v>
      </c>
      <c r="T962" s="165"/>
      <c r="U962" s="165"/>
      <c r="V962" s="200"/>
      <c r="W962" s="200"/>
      <c r="X962" s="361"/>
      <c r="Y962" s="373"/>
      <c r="Z962" s="373"/>
      <c r="AA962" s="370" t="e">
        <f t="shared" ca="1" si="587"/>
        <v>#NAME?</v>
      </c>
      <c r="AB962" s="181"/>
      <c r="AC962" s="182"/>
      <c r="AD962" s="182"/>
      <c r="AE962" s="178"/>
      <c r="AF962" s="178"/>
      <c r="AG962" s="178"/>
      <c r="AH962" s="178"/>
      <c r="AI962" s="181"/>
      <c r="AJ962" s="373"/>
      <c r="AK962" s="171"/>
      <c r="AL962" s="171"/>
      <c r="AM962" s="171"/>
      <c r="AN962" s="161"/>
      <c r="AO962" s="548"/>
      <c r="AP962" s="193" t="e">
        <f t="shared" ca="1" si="586"/>
        <v>#NAME?</v>
      </c>
      <c r="AQ962" s="200"/>
      <c r="AR962" s="204"/>
      <c r="AS962" s="204"/>
      <c r="AT962" s="204"/>
      <c r="AU962" s="204"/>
      <c r="AV962" s="204"/>
    </row>
    <row r="963" spans="1:48" ht="12" customHeight="1">
      <c r="A963" s="516" t="s">
        <v>415</v>
      </c>
      <c r="B963" s="516"/>
      <c r="C963" s="516"/>
      <c r="D963" s="516"/>
      <c r="E963" s="516"/>
      <c r="F963" s="516"/>
      <c r="G963" s="516"/>
      <c r="H963" s="517"/>
      <c r="I963" s="485" t="s">
        <v>777</v>
      </c>
      <c r="J963" s="454"/>
      <c r="K963" s="124"/>
      <c r="L963" s="112">
        <f t="shared" ref="L963:S963" si="608">L966+L982</f>
        <v>0</v>
      </c>
      <c r="M963" s="112">
        <f t="shared" si="608"/>
        <v>0</v>
      </c>
      <c r="N963" s="113">
        <f t="shared" si="608"/>
        <v>0</v>
      </c>
      <c r="O963" s="113">
        <f t="shared" si="608"/>
        <v>0</v>
      </c>
      <c r="P963" s="114">
        <f t="shared" si="608"/>
        <v>0</v>
      </c>
      <c r="Q963" s="114">
        <f t="shared" si="608"/>
        <v>0</v>
      </c>
      <c r="R963" s="88">
        <f t="shared" si="608"/>
        <v>0</v>
      </c>
      <c r="S963" s="90" t="e">
        <f t="shared" ca="1" si="608"/>
        <v>#NAME?</v>
      </c>
      <c r="T963" s="90"/>
      <c r="U963" s="90"/>
      <c r="V963" s="200">
        <f>V966+V982</f>
        <v>0</v>
      </c>
      <c r="W963" s="200">
        <f>W966+W982</f>
        <v>0</v>
      </c>
      <c r="X963" s="88">
        <f>X966+X982</f>
        <v>0</v>
      </c>
      <c r="Y963" s="171">
        <f>Y966+Y982</f>
        <v>0</v>
      </c>
      <c r="Z963" s="171">
        <f>Z966+Z982</f>
        <v>0</v>
      </c>
      <c r="AA963" s="370" t="e">
        <f t="shared" ca="1" si="587"/>
        <v>#NAME?</v>
      </c>
      <c r="AB963" s="171"/>
      <c r="AC963" s="172">
        <f>AC966+AC982</f>
        <v>0</v>
      </c>
      <c r="AD963" s="172">
        <f>AD966+AD982</f>
        <v>0</v>
      </c>
      <c r="AE963" s="178"/>
      <c r="AF963" s="178"/>
      <c r="AG963" s="178"/>
      <c r="AH963" s="178"/>
      <c r="AI963" s="171"/>
      <c r="AJ963" s="171">
        <v>0</v>
      </c>
      <c r="AK963" s="171"/>
      <c r="AL963" s="171"/>
      <c r="AM963" s="171"/>
      <c r="AN963" s="90"/>
      <c r="AO963" s="193"/>
      <c r="AP963" s="193" t="e">
        <f t="shared" ca="1" si="586"/>
        <v>#NAME?</v>
      </c>
      <c r="AQ963" s="200">
        <f>AQ966+AQ982</f>
        <v>0</v>
      </c>
      <c r="AR963" s="204"/>
      <c r="AS963" s="204"/>
      <c r="AT963" s="204"/>
      <c r="AU963" s="204"/>
      <c r="AV963" s="204"/>
    </row>
    <row r="964" spans="1:48" ht="12" customHeight="1">
      <c r="A964" s="209"/>
      <c r="B964" s="209"/>
      <c r="C964" s="209"/>
      <c r="D964" s="209"/>
      <c r="E964" s="209"/>
      <c r="F964" s="209"/>
      <c r="G964" s="209"/>
      <c r="H964" s="21"/>
      <c r="I964" s="465"/>
      <c r="J964" s="229"/>
      <c r="K964" s="18"/>
      <c r="L964" s="112"/>
      <c r="M964" s="112"/>
      <c r="N964" s="113"/>
      <c r="O964" s="113"/>
      <c r="P964" s="114"/>
      <c r="Q964" s="114"/>
      <c r="R964" s="88"/>
      <c r="S964" s="165" t="e">
        <f ca="1">__xlfn.XLOOKUP(H964,[1]Izvršenje_proračuna_po_pozicija!$B$2:$B$153,[1]Izvršenje_proračuna_po_pozicija!$E$2:$E$153,0)</f>
        <v>#NAME?</v>
      </c>
      <c r="T964" s="165"/>
      <c r="U964" s="165"/>
      <c r="V964" s="200"/>
      <c r="W964" s="200"/>
      <c r="X964" s="167"/>
      <c r="Y964" s="370"/>
      <c r="Z964" s="370"/>
      <c r="AA964" s="370" t="e">
        <f t="shared" ca="1" si="587"/>
        <v>#NAME?</v>
      </c>
      <c r="AB964" s="171"/>
      <c r="AC964" s="172"/>
      <c r="AD964" s="172"/>
      <c r="AE964" s="178"/>
      <c r="AF964" s="178"/>
      <c r="AG964" s="178"/>
      <c r="AH964" s="178"/>
      <c r="AI964" s="171"/>
      <c r="AJ964" s="370"/>
      <c r="AK964" s="171"/>
      <c r="AL964" s="171"/>
      <c r="AM964" s="171"/>
      <c r="AN964" s="90"/>
      <c r="AO964" s="193"/>
      <c r="AP964" s="193" t="e">
        <f t="shared" ca="1" si="586"/>
        <v>#NAME?</v>
      </c>
      <c r="AQ964" s="200"/>
      <c r="AR964" s="204"/>
      <c r="AS964" s="204"/>
      <c r="AT964" s="204"/>
      <c r="AU964" s="204"/>
      <c r="AV964" s="204"/>
    </row>
    <row r="965" spans="1:48" ht="12" customHeight="1">
      <c r="A965" s="42"/>
      <c r="B965" s="42"/>
      <c r="C965" s="42"/>
      <c r="D965" s="42"/>
      <c r="E965" s="42"/>
      <c r="F965" s="42"/>
      <c r="G965" s="42"/>
      <c r="H965" s="475"/>
      <c r="I965" s="465"/>
      <c r="J965" s="281">
        <v>4</v>
      </c>
      <c r="K965" s="2" t="s">
        <v>778</v>
      </c>
      <c r="L965" s="112">
        <f t="shared" ref="L965:Z965" si="609">L966</f>
        <v>0</v>
      </c>
      <c r="M965" s="112">
        <f t="shared" si="609"/>
        <v>0</v>
      </c>
      <c r="N965" s="113">
        <f t="shared" si="609"/>
        <v>0</v>
      </c>
      <c r="O965" s="113">
        <f t="shared" si="609"/>
        <v>0</v>
      </c>
      <c r="P965" s="114">
        <f t="shared" si="609"/>
        <v>0</v>
      </c>
      <c r="Q965" s="114">
        <f t="shared" si="609"/>
        <v>0</v>
      </c>
      <c r="R965" s="88">
        <f t="shared" si="609"/>
        <v>0</v>
      </c>
      <c r="S965" s="90" t="e">
        <f t="shared" ca="1" si="609"/>
        <v>#NAME?</v>
      </c>
      <c r="T965" s="90"/>
      <c r="U965" s="90"/>
      <c r="V965" s="200">
        <f>V966</f>
        <v>0</v>
      </c>
      <c r="W965" s="200">
        <f t="shared" si="609"/>
        <v>0</v>
      </c>
      <c r="X965" s="88">
        <f t="shared" si="609"/>
        <v>0</v>
      </c>
      <c r="Y965" s="171">
        <f t="shared" si="609"/>
        <v>0</v>
      </c>
      <c r="Z965" s="171">
        <f t="shared" si="609"/>
        <v>0</v>
      </c>
      <c r="AA965" s="370" t="e">
        <f t="shared" ca="1" si="587"/>
        <v>#NAME?</v>
      </c>
      <c r="AB965" s="171"/>
      <c r="AC965" s="172">
        <f>AC966</f>
        <v>0</v>
      </c>
      <c r="AD965" s="172">
        <f>AD966</f>
        <v>0</v>
      </c>
      <c r="AE965" s="178"/>
      <c r="AF965" s="178"/>
      <c r="AG965" s="178"/>
      <c r="AH965" s="178"/>
      <c r="AI965" s="171"/>
      <c r="AJ965" s="171">
        <v>0</v>
      </c>
      <c r="AK965" s="171"/>
      <c r="AL965" s="171"/>
      <c r="AM965" s="171"/>
      <c r="AN965" s="90"/>
      <c r="AO965" s="193"/>
      <c r="AP965" s="193" t="e">
        <f t="shared" ca="1" si="586"/>
        <v>#NAME?</v>
      </c>
      <c r="AQ965" s="200">
        <f>AQ966</f>
        <v>0</v>
      </c>
      <c r="AR965" s="204"/>
      <c r="AS965" s="204"/>
      <c r="AT965" s="204"/>
      <c r="AU965" s="204"/>
      <c r="AV965" s="204"/>
    </row>
    <row r="966" spans="1:48" ht="12" customHeight="1">
      <c r="A966" s="476"/>
      <c r="B966" s="476"/>
      <c r="C966" s="476"/>
      <c r="D966" s="476"/>
      <c r="E966" s="476"/>
      <c r="F966" s="476"/>
      <c r="G966" s="476"/>
      <c r="H966" s="22"/>
      <c r="I966" s="350"/>
      <c r="J966" s="302">
        <v>42</v>
      </c>
      <c r="K966" s="343" t="s">
        <v>612</v>
      </c>
      <c r="L966" s="112">
        <f t="shared" ref="L966:S966" si="610">L968</f>
        <v>0</v>
      </c>
      <c r="M966" s="112">
        <f t="shared" si="610"/>
        <v>0</v>
      </c>
      <c r="N966" s="113">
        <f t="shared" si="610"/>
        <v>0</v>
      </c>
      <c r="O966" s="113">
        <f t="shared" si="610"/>
        <v>0</v>
      </c>
      <c r="P966" s="114">
        <f t="shared" si="610"/>
        <v>0</v>
      </c>
      <c r="Q966" s="114">
        <f t="shared" si="610"/>
        <v>0</v>
      </c>
      <c r="R966" s="88">
        <f t="shared" si="610"/>
        <v>0</v>
      </c>
      <c r="S966" s="90" t="e">
        <f t="shared" ca="1" si="610"/>
        <v>#NAME?</v>
      </c>
      <c r="T966" s="90"/>
      <c r="U966" s="90"/>
      <c r="V966" s="200">
        <f>V968</f>
        <v>0</v>
      </c>
      <c r="W966" s="200">
        <f>W968</f>
        <v>0</v>
      </c>
      <c r="X966" s="88">
        <f>X968</f>
        <v>0</v>
      </c>
      <c r="Y966" s="171">
        <f>Y968</f>
        <v>0</v>
      </c>
      <c r="Z966" s="171">
        <f>Z968</f>
        <v>0</v>
      </c>
      <c r="AA966" s="370" t="e">
        <f t="shared" ca="1" si="587"/>
        <v>#NAME?</v>
      </c>
      <c r="AB966" s="171"/>
      <c r="AC966" s="172">
        <f>AC968</f>
        <v>0</v>
      </c>
      <c r="AD966" s="172">
        <f>AD968</f>
        <v>0</v>
      </c>
      <c r="AE966" s="178"/>
      <c r="AF966" s="178"/>
      <c r="AG966" s="178"/>
      <c r="AH966" s="178"/>
      <c r="AI966" s="171"/>
      <c r="AJ966" s="171">
        <v>0</v>
      </c>
      <c r="AK966" s="171"/>
      <c r="AL966" s="171"/>
      <c r="AM966" s="171"/>
      <c r="AN966" s="90"/>
      <c r="AO966" s="193"/>
      <c r="AP966" s="193" t="e">
        <f t="shared" ca="1" si="586"/>
        <v>#NAME?</v>
      </c>
      <c r="AQ966" s="200">
        <f>AQ968</f>
        <v>0</v>
      </c>
      <c r="AR966" s="204"/>
      <c r="AS966" s="204"/>
      <c r="AT966" s="204"/>
      <c r="AU966" s="204"/>
      <c r="AV966" s="204"/>
    </row>
    <row r="967" spans="1:48" ht="12" customHeight="1">
      <c r="A967" s="42"/>
      <c r="B967" s="42"/>
      <c r="C967" s="42"/>
      <c r="D967" s="42"/>
      <c r="E967" s="42"/>
      <c r="F967" s="42"/>
      <c r="G967" s="42"/>
      <c r="H967" s="308"/>
      <c r="I967" s="14"/>
      <c r="J967" s="2"/>
      <c r="K967" s="84"/>
      <c r="L967" s="85"/>
      <c r="M967" s="85"/>
      <c r="N967" s="86"/>
      <c r="O967" s="86"/>
      <c r="P967" s="87"/>
      <c r="Q967" s="87"/>
      <c r="R967" s="160"/>
      <c r="S967" s="165" t="e">
        <f ca="1">__xlfn.XLOOKUP(H967,[1]Izvršenje_proračuna_po_pozicija!$B$2:$B$153,[1]Izvršenje_proračuna_po_pozicija!$E$2:$E$153,0)</f>
        <v>#NAME?</v>
      </c>
      <c r="T967" s="165"/>
      <c r="U967" s="165"/>
      <c r="V967" s="200"/>
      <c r="W967" s="200"/>
      <c r="X967" s="361"/>
      <c r="Y967" s="373"/>
      <c r="Z967" s="373"/>
      <c r="AA967" s="370" t="e">
        <f t="shared" ca="1" si="587"/>
        <v>#NAME?</v>
      </c>
      <c r="AB967" s="181"/>
      <c r="AC967" s="182"/>
      <c r="AD967" s="182"/>
      <c r="AE967" s="178"/>
      <c r="AF967" s="178"/>
      <c r="AG967" s="178"/>
      <c r="AH967" s="178"/>
      <c r="AI967" s="181"/>
      <c r="AJ967" s="373"/>
      <c r="AK967" s="171"/>
      <c r="AL967" s="171"/>
      <c r="AM967" s="171"/>
      <c r="AN967" s="161"/>
      <c r="AO967" s="193"/>
      <c r="AP967" s="193" t="e">
        <f t="shared" ca="1" si="586"/>
        <v>#NAME?</v>
      </c>
      <c r="AQ967" s="200"/>
      <c r="AR967" s="204"/>
      <c r="AS967" s="204"/>
      <c r="AT967" s="204"/>
      <c r="AU967" s="204"/>
      <c r="AV967" s="204"/>
    </row>
    <row r="968" spans="1:48" ht="12" customHeight="1">
      <c r="A968" s="473"/>
      <c r="B968" s="473"/>
      <c r="C968" s="473"/>
      <c r="D968" s="473"/>
      <c r="E968" s="473"/>
      <c r="F968" s="473"/>
      <c r="G968" s="473"/>
      <c r="H968" s="474"/>
      <c r="I968" s="464"/>
      <c r="J968" s="303">
        <v>421</v>
      </c>
      <c r="K968" s="19" t="s">
        <v>465</v>
      </c>
      <c r="L968" s="112">
        <f t="shared" ref="L968:S968" si="611">L969+L970</f>
        <v>0</v>
      </c>
      <c r="M968" s="112">
        <f t="shared" si="611"/>
        <v>0</v>
      </c>
      <c r="N968" s="113">
        <f t="shared" si="611"/>
        <v>0</v>
      </c>
      <c r="O968" s="113">
        <f t="shared" si="611"/>
        <v>0</v>
      </c>
      <c r="P968" s="114">
        <f t="shared" si="611"/>
        <v>0</v>
      </c>
      <c r="Q968" s="114">
        <f t="shared" si="611"/>
        <v>0</v>
      </c>
      <c r="R968" s="88">
        <f t="shared" si="611"/>
        <v>0</v>
      </c>
      <c r="S968" s="90" t="e">
        <f t="shared" ca="1" si="611"/>
        <v>#NAME?</v>
      </c>
      <c r="T968" s="90"/>
      <c r="U968" s="90"/>
      <c r="V968" s="200">
        <f>V969+V970</f>
        <v>0</v>
      </c>
      <c r="W968" s="200">
        <f>W969+W970</f>
        <v>0</v>
      </c>
      <c r="X968" s="88">
        <f>X969+X970</f>
        <v>0</v>
      </c>
      <c r="Y968" s="171">
        <f>Y969+Y970</f>
        <v>0</v>
      </c>
      <c r="Z968" s="171">
        <f>Z969+Z970</f>
        <v>0</v>
      </c>
      <c r="AA968" s="370" t="e">
        <f t="shared" ca="1" si="587"/>
        <v>#NAME?</v>
      </c>
      <c r="AB968" s="171"/>
      <c r="AC968" s="172">
        <f>AC969+AC970</f>
        <v>0</v>
      </c>
      <c r="AD968" s="172">
        <f>AD969+AD970</f>
        <v>0</v>
      </c>
      <c r="AE968" s="178"/>
      <c r="AF968" s="178"/>
      <c r="AG968" s="178"/>
      <c r="AH968" s="178"/>
      <c r="AI968" s="171"/>
      <c r="AJ968" s="171">
        <v>0</v>
      </c>
      <c r="AK968" s="171"/>
      <c r="AL968" s="171"/>
      <c r="AM968" s="171"/>
      <c r="AN968" s="90"/>
      <c r="AO968" s="193"/>
      <c r="AP968" s="193" t="e">
        <f t="shared" ca="1" si="586"/>
        <v>#NAME?</v>
      </c>
      <c r="AQ968" s="200">
        <f>AQ969+AQ970</f>
        <v>0</v>
      </c>
      <c r="AR968" s="204"/>
      <c r="AS968" s="204"/>
      <c r="AT968" s="204"/>
      <c r="AU968" s="204"/>
      <c r="AV968" s="204"/>
    </row>
    <row r="969" spans="1:48" ht="12" customHeight="1">
      <c r="A969" s="209"/>
      <c r="B969" s="209"/>
      <c r="C969" s="209"/>
      <c r="D969" s="209"/>
      <c r="E969" s="209"/>
      <c r="F969" s="209"/>
      <c r="G969" s="209"/>
      <c r="H969" s="21" t="s">
        <v>779</v>
      </c>
      <c r="I969" s="6">
        <v>1020</v>
      </c>
      <c r="J969" s="229">
        <v>4212</v>
      </c>
      <c r="K969" s="18" t="s">
        <v>780</v>
      </c>
      <c r="L969" s="130">
        <v>0</v>
      </c>
      <c r="M969" s="130">
        <v>0</v>
      </c>
      <c r="N969" s="131">
        <v>0</v>
      </c>
      <c r="O969" s="131">
        <v>0</v>
      </c>
      <c r="P969" s="132">
        <v>0</v>
      </c>
      <c r="Q969" s="132">
        <v>0</v>
      </c>
      <c r="R969" s="159">
        <v>0</v>
      </c>
      <c r="S969" s="165" t="e">
        <f ca="1">__xlfn.XLOOKUP(H969,[1]Izvršenje_proračuna_po_pozicija!$B$2:$B$153,[1]Izvršenje_proračuna_po_pozicija!$E$2:$E$153,0)</f>
        <v>#NAME?</v>
      </c>
      <c r="T969" s="165"/>
      <c r="U969" s="165"/>
      <c r="V969" s="200"/>
      <c r="W969" s="200"/>
      <c r="X969" s="164"/>
      <c r="Y969" s="378"/>
      <c r="Z969" s="378"/>
      <c r="AA969" s="370" t="e">
        <f t="shared" ca="1" si="587"/>
        <v>#NAME?</v>
      </c>
      <c r="AB969" s="183"/>
      <c r="AC969" s="178">
        <v>0</v>
      </c>
      <c r="AD969" s="178">
        <v>0</v>
      </c>
      <c r="AE969" s="178"/>
      <c r="AF969" s="178"/>
      <c r="AG969" s="178"/>
      <c r="AH969" s="178"/>
      <c r="AI969" s="183"/>
      <c r="AJ969" s="378"/>
      <c r="AK969" s="171"/>
      <c r="AL969" s="171"/>
      <c r="AM969" s="171"/>
      <c r="AN969" s="165"/>
      <c r="AO969" s="193"/>
      <c r="AP969" s="193" t="e">
        <f t="shared" ca="1" si="586"/>
        <v>#NAME?</v>
      </c>
      <c r="AQ969" s="200"/>
      <c r="AR969" s="204"/>
      <c r="AS969" s="204"/>
      <c r="AT969" s="204"/>
      <c r="AU969" s="204"/>
      <c r="AV969" s="204"/>
    </row>
    <row r="970" spans="1:48" ht="12" customHeight="1">
      <c r="A970" s="209"/>
      <c r="B970" s="209"/>
      <c r="C970" s="209"/>
      <c r="D970" s="209"/>
      <c r="E970" s="209"/>
      <c r="F970" s="209"/>
      <c r="G970" s="209"/>
      <c r="H970" s="21" t="s">
        <v>781</v>
      </c>
      <c r="I970" s="6">
        <v>1020</v>
      </c>
      <c r="J970" s="229">
        <v>4212</v>
      </c>
      <c r="K970" s="18" t="s">
        <v>782</v>
      </c>
      <c r="L970" s="130">
        <v>0</v>
      </c>
      <c r="M970" s="130">
        <v>0</v>
      </c>
      <c r="N970" s="131">
        <v>0</v>
      </c>
      <c r="O970" s="131">
        <v>0</v>
      </c>
      <c r="P970" s="132">
        <v>0</v>
      </c>
      <c r="Q970" s="132">
        <v>0</v>
      </c>
      <c r="R970" s="159">
        <v>0</v>
      </c>
      <c r="S970" s="165" t="e">
        <f ca="1">__xlfn.XLOOKUP(H970,[1]Izvršenje_proračuna_po_pozicija!$B$2:$B$153,[1]Izvršenje_proračuna_po_pozicija!$E$2:$E$153,0)</f>
        <v>#NAME?</v>
      </c>
      <c r="T970" s="165"/>
      <c r="U970" s="165"/>
      <c r="V970" s="200"/>
      <c r="W970" s="200"/>
      <c r="X970" s="164"/>
      <c r="Y970" s="378"/>
      <c r="Z970" s="378"/>
      <c r="AA970" s="370" t="e">
        <f t="shared" ca="1" si="587"/>
        <v>#NAME?</v>
      </c>
      <c r="AB970" s="183"/>
      <c r="AC970" s="178">
        <v>0</v>
      </c>
      <c r="AD970" s="178">
        <v>0</v>
      </c>
      <c r="AE970" s="178"/>
      <c r="AF970" s="178"/>
      <c r="AG970" s="178"/>
      <c r="AH970" s="178"/>
      <c r="AI970" s="183"/>
      <c r="AJ970" s="378"/>
      <c r="AK970" s="171"/>
      <c r="AL970" s="171"/>
      <c r="AM970" s="171"/>
      <c r="AN970" s="165"/>
      <c r="AO970" s="193"/>
      <c r="AP970" s="193" t="e">
        <f t="shared" ca="1" si="586"/>
        <v>#NAME?</v>
      </c>
      <c r="AQ970" s="200"/>
      <c r="AR970" s="204"/>
      <c r="AS970" s="204"/>
      <c r="AT970" s="204"/>
      <c r="AU970" s="204"/>
      <c r="AV970" s="204"/>
    </row>
    <row r="971" spans="1:48" ht="12" customHeight="1">
      <c r="A971" s="42"/>
      <c r="B971" s="42"/>
      <c r="C971" s="42"/>
      <c r="D971" s="42"/>
      <c r="E971" s="42"/>
      <c r="F971" s="42"/>
      <c r="G971" s="42"/>
      <c r="H971" s="308"/>
      <c r="I971" s="14"/>
      <c r="J971" s="2"/>
      <c r="K971" s="281"/>
      <c r="L971" s="85"/>
      <c r="M971" s="85"/>
      <c r="N971" s="86"/>
      <c r="O971" s="86"/>
      <c r="P971" s="87"/>
      <c r="Q971" s="87"/>
      <c r="R971" s="160"/>
      <c r="S971" s="165" t="e">
        <f ca="1">__xlfn.XLOOKUP(H971,[1]Izvršenje_proračuna_po_pozicija!$B$2:$B$153,[1]Izvršenje_proračuna_po_pozicija!$E$2:$E$153,0)</f>
        <v>#NAME?</v>
      </c>
      <c r="T971" s="165"/>
      <c r="U971" s="165"/>
      <c r="V971" s="200"/>
      <c r="W971" s="200"/>
      <c r="X971" s="361"/>
      <c r="Y971" s="373"/>
      <c r="Z971" s="373"/>
      <c r="AA971" s="370" t="e">
        <f t="shared" ca="1" si="587"/>
        <v>#NAME?</v>
      </c>
      <c r="AB971" s="181"/>
      <c r="AC971" s="182"/>
      <c r="AD971" s="182"/>
      <c r="AE971" s="178"/>
      <c r="AF971" s="178"/>
      <c r="AG971" s="178"/>
      <c r="AH971" s="178"/>
      <c r="AI971" s="181"/>
      <c r="AJ971" s="373"/>
      <c r="AK971" s="171"/>
      <c r="AL971" s="171"/>
      <c r="AM971" s="171"/>
      <c r="AN971" s="161"/>
      <c r="AO971" s="193"/>
      <c r="AP971" s="193" t="e">
        <f t="shared" ca="1" si="586"/>
        <v>#NAME?</v>
      </c>
      <c r="AQ971" s="200"/>
      <c r="AR971" s="204"/>
      <c r="AS971" s="204"/>
      <c r="AT971" s="204"/>
      <c r="AU971" s="204"/>
      <c r="AV971" s="204"/>
    </row>
    <row r="972" spans="1:48" ht="12" customHeight="1">
      <c r="A972" s="295"/>
      <c r="B972" s="296"/>
      <c r="C972" s="296"/>
      <c r="D972" s="296"/>
      <c r="E972" s="296"/>
      <c r="F972" s="296"/>
      <c r="G972" s="518"/>
      <c r="H972" s="519"/>
      <c r="I972" s="533" t="s">
        <v>783</v>
      </c>
      <c r="J972" s="490"/>
      <c r="K972" s="297"/>
      <c r="L972" s="112">
        <f t="shared" ref="L972:Z972" si="612">L973</f>
        <v>296739</v>
      </c>
      <c r="M972" s="112">
        <f t="shared" si="612"/>
        <v>39384.033446147718</v>
      </c>
      <c r="N972" s="113">
        <f t="shared" si="612"/>
        <v>438368</v>
      </c>
      <c r="O972" s="113">
        <f t="shared" si="612"/>
        <v>58181.432079102793</v>
      </c>
      <c r="P972" s="114">
        <f t="shared" si="612"/>
        <v>358300</v>
      </c>
      <c r="Q972" s="114">
        <f t="shared" si="612"/>
        <v>6600</v>
      </c>
      <c r="R972" s="88">
        <f t="shared" si="612"/>
        <v>6600</v>
      </c>
      <c r="S972" s="90" t="e">
        <f t="shared" ca="1" si="612"/>
        <v>#NAME?</v>
      </c>
      <c r="T972" s="90"/>
      <c r="U972" s="90"/>
      <c r="V972" s="200">
        <f>V973</f>
        <v>50000</v>
      </c>
      <c r="W972" s="200">
        <f t="shared" si="612"/>
        <v>50000</v>
      </c>
      <c r="X972" s="88">
        <f t="shared" si="612"/>
        <v>550000</v>
      </c>
      <c r="Y972" s="171">
        <f t="shared" si="612"/>
        <v>150000</v>
      </c>
      <c r="Z972" s="171">
        <f t="shared" si="612"/>
        <v>0</v>
      </c>
      <c r="AA972" s="370" t="e">
        <f t="shared" ca="1" si="587"/>
        <v>#NAME?</v>
      </c>
      <c r="AB972" s="171"/>
      <c r="AC972" s="172">
        <f>AC973</f>
        <v>172600</v>
      </c>
      <c r="AD972" s="172">
        <f>AD973</f>
        <v>172600</v>
      </c>
      <c r="AE972" s="178">
        <f>O972/M972*100</f>
        <v>147.72847519200377</v>
      </c>
      <c r="AF972" s="178"/>
      <c r="AG972" s="178"/>
      <c r="AH972" s="178"/>
      <c r="AI972" s="171"/>
      <c r="AJ972" s="171">
        <v>150000</v>
      </c>
      <c r="AK972" s="171">
        <f t="shared" si="589"/>
        <v>757.57575757575762</v>
      </c>
      <c r="AL972" s="171">
        <f t="shared" si="590"/>
        <v>1100</v>
      </c>
      <c r="AM972" s="171">
        <f t="shared" si="590"/>
        <v>27.27272727272727</v>
      </c>
      <c r="AN972" s="90"/>
      <c r="AO972" s="193"/>
      <c r="AP972" s="193" t="e">
        <f t="shared" ca="1" si="586"/>
        <v>#NAME?</v>
      </c>
      <c r="AQ972" s="200">
        <f>AQ973</f>
        <v>25437.5</v>
      </c>
      <c r="AR972" s="204">
        <f t="shared" si="591"/>
        <v>757.57575757575762</v>
      </c>
      <c r="AS972" s="204">
        <f t="shared" si="592"/>
        <v>100</v>
      </c>
      <c r="AT972" s="204">
        <f t="shared" si="593"/>
        <v>757.57575757575762</v>
      </c>
      <c r="AU972" s="204">
        <f t="shared" si="594"/>
        <v>50.875</v>
      </c>
      <c r="AV972" s="204">
        <f t="shared" si="595"/>
        <v>385.41666666666663</v>
      </c>
    </row>
    <row r="973" spans="1:48" ht="12" customHeight="1">
      <c r="A973" s="520" t="s">
        <v>784</v>
      </c>
      <c r="B973" s="521"/>
      <c r="C973" s="521"/>
      <c r="D973" s="521"/>
      <c r="E973" s="521"/>
      <c r="F973" s="521"/>
      <c r="G973" s="521"/>
      <c r="H973" s="522"/>
      <c r="I973" s="12" t="s">
        <v>785</v>
      </c>
      <c r="J973" s="486"/>
      <c r="K973" s="300"/>
      <c r="L973" s="112">
        <f t="shared" ref="L973:S973" si="613">L975</f>
        <v>296739</v>
      </c>
      <c r="M973" s="112">
        <f t="shared" si="613"/>
        <v>39384.033446147718</v>
      </c>
      <c r="N973" s="113">
        <f t="shared" si="613"/>
        <v>438368</v>
      </c>
      <c r="O973" s="113">
        <f t="shared" si="613"/>
        <v>58181.432079102793</v>
      </c>
      <c r="P973" s="114">
        <f t="shared" si="613"/>
        <v>358300</v>
      </c>
      <c r="Q973" s="114">
        <f t="shared" si="613"/>
        <v>6600</v>
      </c>
      <c r="R973" s="88">
        <f t="shared" si="613"/>
        <v>6600</v>
      </c>
      <c r="S973" s="90" t="e">
        <f t="shared" ca="1" si="613"/>
        <v>#NAME?</v>
      </c>
      <c r="T973" s="90"/>
      <c r="U973" s="90"/>
      <c r="V973" s="200">
        <f>V975</f>
        <v>50000</v>
      </c>
      <c r="W973" s="200">
        <f>W975</f>
        <v>50000</v>
      </c>
      <c r="X973" s="88">
        <f>X975</f>
        <v>550000</v>
      </c>
      <c r="Y973" s="171">
        <f>Y975</f>
        <v>150000</v>
      </c>
      <c r="Z973" s="171">
        <f>Z975</f>
        <v>0</v>
      </c>
      <c r="AA973" s="370" t="e">
        <f t="shared" ca="1" si="587"/>
        <v>#NAME?</v>
      </c>
      <c r="AB973" s="171"/>
      <c r="AC973" s="172">
        <f>AC975</f>
        <v>172600</v>
      </c>
      <c r="AD973" s="172">
        <f>AD975</f>
        <v>172600</v>
      </c>
      <c r="AE973" s="178">
        <f>O973/M973*100</f>
        <v>147.72847519200377</v>
      </c>
      <c r="AF973" s="178"/>
      <c r="AG973" s="178"/>
      <c r="AH973" s="178"/>
      <c r="AI973" s="171"/>
      <c r="AJ973" s="171">
        <v>150000</v>
      </c>
      <c r="AK973" s="171">
        <f t="shared" si="589"/>
        <v>757.57575757575762</v>
      </c>
      <c r="AL973" s="171">
        <f t="shared" si="590"/>
        <v>1100</v>
      </c>
      <c r="AM973" s="171">
        <f t="shared" si="590"/>
        <v>27.27272727272727</v>
      </c>
      <c r="AN973" s="90"/>
      <c r="AO973" s="193"/>
      <c r="AP973" s="193" t="e">
        <f t="shared" ca="1" si="586"/>
        <v>#NAME?</v>
      </c>
      <c r="AQ973" s="200">
        <f>AQ975</f>
        <v>25437.5</v>
      </c>
      <c r="AR973" s="204">
        <f t="shared" si="591"/>
        <v>757.57575757575762</v>
      </c>
      <c r="AS973" s="204">
        <f t="shared" si="592"/>
        <v>100</v>
      </c>
      <c r="AT973" s="204">
        <f t="shared" si="593"/>
        <v>757.57575757575762</v>
      </c>
      <c r="AU973" s="204">
        <f t="shared" si="594"/>
        <v>50.875</v>
      </c>
      <c r="AV973" s="204">
        <f t="shared" si="595"/>
        <v>385.41666666666663</v>
      </c>
    </row>
    <row r="974" spans="1:48" ht="12" customHeight="1">
      <c r="A974" s="209"/>
      <c r="B974" s="209"/>
      <c r="C974" s="209"/>
      <c r="D974" s="209"/>
      <c r="E974" s="209"/>
      <c r="F974" s="209"/>
      <c r="G974" s="209"/>
      <c r="H974" s="21"/>
      <c r="I974" s="6"/>
      <c r="J974" s="229"/>
      <c r="K974" s="18"/>
      <c r="L974" s="466"/>
      <c r="M974" s="466"/>
      <c r="N974" s="467"/>
      <c r="O974" s="467"/>
      <c r="P974" s="468"/>
      <c r="Q974" s="468"/>
      <c r="R974" s="282"/>
      <c r="S974" s="165" t="e">
        <f ca="1">__xlfn.XLOOKUP(H974,[1]Izvršenje_proračuna_po_pozicija!$B$2:$B$153,[1]Izvršenje_proračuna_po_pozicija!$E$2:$E$153,0)</f>
        <v>#NAME?</v>
      </c>
      <c r="T974" s="165"/>
      <c r="U974" s="165"/>
      <c r="V974" s="200"/>
      <c r="W974" s="200"/>
      <c r="X974" s="167"/>
      <c r="Y974" s="424"/>
      <c r="Z974" s="424"/>
      <c r="AA974" s="370" t="e">
        <f t="shared" ca="1" si="587"/>
        <v>#NAME?</v>
      </c>
      <c r="AB974" s="223"/>
      <c r="AC974" s="224"/>
      <c r="AD974" s="224"/>
      <c r="AE974" s="178"/>
      <c r="AF974" s="178"/>
      <c r="AG974" s="178"/>
      <c r="AH974" s="178"/>
      <c r="AI974" s="223"/>
      <c r="AJ974" s="424"/>
      <c r="AK974" s="171"/>
      <c r="AL974" s="171"/>
      <c r="AM974" s="171"/>
      <c r="AN974" s="222"/>
      <c r="AO974" s="193"/>
      <c r="AP974" s="193" t="e">
        <f t="shared" ca="1" si="586"/>
        <v>#NAME?</v>
      </c>
      <c r="AQ974" s="200"/>
      <c r="AR974" s="204"/>
      <c r="AS974" s="204"/>
      <c r="AT974" s="204"/>
      <c r="AU974" s="204"/>
      <c r="AV974" s="204"/>
    </row>
    <row r="975" spans="1:48" ht="12" customHeight="1">
      <c r="A975" s="42"/>
      <c r="B975" s="42"/>
      <c r="C975" s="42"/>
      <c r="D975" s="42"/>
      <c r="E975" s="42"/>
      <c r="F975" s="42"/>
      <c r="G975" s="42"/>
      <c r="H975" s="475"/>
      <c r="I975" s="8"/>
      <c r="J975" s="281">
        <v>4</v>
      </c>
      <c r="K975" s="2" t="s">
        <v>590</v>
      </c>
      <c r="L975" s="112">
        <f t="shared" ref="L975:AD976" si="614">L976</f>
        <v>296739</v>
      </c>
      <c r="M975" s="112">
        <f t="shared" si="614"/>
        <v>39384.033446147718</v>
      </c>
      <c r="N975" s="113">
        <f t="shared" si="614"/>
        <v>438368</v>
      </c>
      <c r="O975" s="113">
        <f t="shared" si="614"/>
        <v>58181.432079102793</v>
      </c>
      <c r="P975" s="114">
        <f t="shared" si="614"/>
        <v>358300</v>
      </c>
      <c r="Q975" s="114">
        <f t="shared" si="614"/>
        <v>6600</v>
      </c>
      <c r="R975" s="88">
        <f t="shared" si="614"/>
        <v>6600</v>
      </c>
      <c r="S975" s="90" t="e">
        <f t="shared" ca="1" si="614"/>
        <v>#NAME?</v>
      </c>
      <c r="T975" s="90"/>
      <c r="U975" s="90"/>
      <c r="V975" s="200">
        <f>V976</f>
        <v>50000</v>
      </c>
      <c r="W975" s="200">
        <f t="shared" si="614"/>
        <v>50000</v>
      </c>
      <c r="X975" s="88">
        <f t="shared" si="614"/>
        <v>550000</v>
      </c>
      <c r="Y975" s="171">
        <f t="shared" si="614"/>
        <v>150000</v>
      </c>
      <c r="Z975" s="171">
        <f t="shared" si="614"/>
        <v>0</v>
      </c>
      <c r="AA975" s="370" t="e">
        <f t="shared" ca="1" si="587"/>
        <v>#NAME?</v>
      </c>
      <c r="AB975" s="171"/>
      <c r="AC975" s="172">
        <f t="shared" si="614"/>
        <v>172600</v>
      </c>
      <c r="AD975" s="172">
        <f t="shared" si="614"/>
        <v>172600</v>
      </c>
      <c r="AE975" s="178">
        <f>O975/M975*100</f>
        <v>147.72847519200377</v>
      </c>
      <c r="AF975" s="178"/>
      <c r="AG975" s="178"/>
      <c r="AH975" s="178"/>
      <c r="AI975" s="171"/>
      <c r="AJ975" s="171">
        <v>150000</v>
      </c>
      <c r="AK975" s="171">
        <f t="shared" si="589"/>
        <v>757.57575757575762</v>
      </c>
      <c r="AL975" s="171">
        <f t="shared" si="590"/>
        <v>1100</v>
      </c>
      <c r="AM975" s="171">
        <f t="shared" si="590"/>
        <v>27.27272727272727</v>
      </c>
      <c r="AN975" s="90"/>
      <c r="AO975" s="193"/>
      <c r="AP975" s="193" t="e">
        <f t="shared" ca="1" si="586"/>
        <v>#NAME?</v>
      </c>
      <c r="AQ975" s="200">
        <f>AQ976</f>
        <v>25437.5</v>
      </c>
      <c r="AR975" s="204">
        <f t="shared" si="591"/>
        <v>757.57575757575762</v>
      </c>
      <c r="AS975" s="204">
        <f t="shared" si="592"/>
        <v>100</v>
      </c>
      <c r="AT975" s="204">
        <f t="shared" si="593"/>
        <v>757.57575757575762</v>
      </c>
      <c r="AU975" s="204">
        <f t="shared" si="594"/>
        <v>50.875</v>
      </c>
      <c r="AV975" s="204">
        <f t="shared" si="595"/>
        <v>385.41666666666663</v>
      </c>
    </row>
    <row r="976" spans="1:48" ht="12" customHeight="1">
      <c r="A976" s="476"/>
      <c r="B976" s="476"/>
      <c r="C976" s="476"/>
      <c r="D976" s="476"/>
      <c r="E976" s="476"/>
      <c r="F976" s="476"/>
      <c r="G976" s="476"/>
      <c r="H976" s="22"/>
      <c r="I976" s="9"/>
      <c r="J976" s="302">
        <v>42</v>
      </c>
      <c r="K976" s="343" t="s">
        <v>786</v>
      </c>
      <c r="L976" s="112">
        <f t="shared" si="614"/>
        <v>296739</v>
      </c>
      <c r="M976" s="112">
        <f t="shared" si="614"/>
        <v>39384.033446147718</v>
      </c>
      <c r="N976" s="113">
        <f t="shared" si="614"/>
        <v>438368</v>
      </c>
      <c r="O976" s="113">
        <f t="shared" si="614"/>
        <v>58181.432079102793</v>
      </c>
      <c r="P976" s="114">
        <f t="shared" si="614"/>
        <v>358300</v>
      </c>
      <c r="Q976" s="114">
        <f t="shared" si="614"/>
        <v>6600</v>
      </c>
      <c r="R976" s="88">
        <f t="shared" si="614"/>
        <v>6600</v>
      </c>
      <c r="S976" s="90" t="e">
        <f t="shared" ca="1" si="614"/>
        <v>#NAME?</v>
      </c>
      <c r="T976" s="90"/>
      <c r="U976" s="90"/>
      <c r="V976" s="200">
        <f>V977</f>
        <v>50000</v>
      </c>
      <c r="W976" s="200">
        <f t="shared" si="614"/>
        <v>50000</v>
      </c>
      <c r="X976" s="88">
        <f t="shared" si="614"/>
        <v>550000</v>
      </c>
      <c r="Y976" s="171">
        <f t="shared" si="614"/>
        <v>150000</v>
      </c>
      <c r="Z976" s="171">
        <f t="shared" si="614"/>
        <v>0</v>
      </c>
      <c r="AA976" s="370" t="e">
        <f t="shared" ca="1" si="587"/>
        <v>#NAME?</v>
      </c>
      <c r="AB976" s="171"/>
      <c r="AC976" s="172">
        <f t="shared" si="614"/>
        <v>172600</v>
      </c>
      <c r="AD976" s="172">
        <f t="shared" si="614"/>
        <v>172600</v>
      </c>
      <c r="AE976" s="178">
        <f>O976/M976*100</f>
        <v>147.72847519200377</v>
      </c>
      <c r="AF976" s="178"/>
      <c r="AG976" s="178"/>
      <c r="AH976" s="178"/>
      <c r="AI976" s="171"/>
      <c r="AJ976" s="171">
        <v>150000</v>
      </c>
      <c r="AK976" s="171">
        <f t="shared" si="589"/>
        <v>757.57575757575762</v>
      </c>
      <c r="AL976" s="171">
        <f t="shared" si="590"/>
        <v>1100</v>
      </c>
      <c r="AM976" s="171">
        <f t="shared" si="590"/>
        <v>27.27272727272727</v>
      </c>
      <c r="AN976" s="90"/>
      <c r="AO976" s="193"/>
      <c r="AP976" s="193" t="e">
        <f t="shared" ca="1" si="586"/>
        <v>#NAME?</v>
      </c>
      <c r="AQ976" s="200">
        <f>AQ977</f>
        <v>25437.5</v>
      </c>
      <c r="AR976" s="204">
        <f t="shared" si="591"/>
        <v>757.57575757575762</v>
      </c>
      <c r="AS976" s="204">
        <f t="shared" si="592"/>
        <v>100</v>
      </c>
      <c r="AT976" s="204">
        <f t="shared" si="593"/>
        <v>757.57575757575762</v>
      </c>
      <c r="AU976" s="204">
        <f t="shared" si="594"/>
        <v>50.875</v>
      </c>
      <c r="AV976" s="204">
        <f t="shared" si="595"/>
        <v>385.41666666666663</v>
      </c>
    </row>
    <row r="977" spans="1:48" ht="12" customHeight="1">
      <c r="A977" s="473"/>
      <c r="B977" s="473"/>
      <c r="C977" s="473"/>
      <c r="D977" s="473"/>
      <c r="E977" s="473"/>
      <c r="F977" s="473"/>
      <c r="G977" s="473"/>
      <c r="H977" s="523"/>
      <c r="I977" s="534"/>
      <c r="J977" s="535">
        <v>421</v>
      </c>
      <c r="K977" s="310" t="s">
        <v>465</v>
      </c>
      <c r="L977" s="311">
        <f t="shared" ref="L977:S977" si="615">L978+L979</f>
        <v>296739</v>
      </c>
      <c r="M977" s="311">
        <f t="shared" si="615"/>
        <v>39384.033446147718</v>
      </c>
      <c r="N977" s="312">
        <f t="shared" si="615"/>
        <v>438368</v>
      </c>
      <c r="O977" s="312">
        <f t="shared" si="615"/>
        <v>58181.432079102793</v>
      </c>
      <c r="P977" s="313">
        <f t="shared" si="615"/>
        <v>358300</v>
      </c>
      <c r="Q977" s="313">
        <f t="shared" si="615"/>
        <v>6600</v>
      </c>
      <c r="R977" s="96">
        <f t="shared" si="615"/>
        <v>6600</v>
      </c>
      <c r="S977" s="98" t="e">
        <f t="shared" ca="1" si="615"/>
        <v>#NAME?</v>
      </c>
      <c r="T977" s="98"/>
      <c r="U977" s="98"/>
      <c r="V977" s="200">
        <f>V978+V979</f>
        <v>50000</v>
      </c>
      <c r="W977" s="200">
        <f>W978+W979</f>
        <v>50000</v>
      </c>
      <c r="X977" s="96">
        <f>X978+X979</f>
        <v>550000</v>
      </c>
      <c r="Y977" s="173">
        <f>Y978+Y979</f>
        <v>150000</v>
      </c>
      <c r="Z977" s="173">
        <f>Z978+Z979</f>
        <v>0</v>
      </c>
      <c r="AA977" s="370" t="e">
        <f t="shared" ca="1" si="587"/>
        <v>#NAME?</v>
      </c>
      <c r="AB977" s="173"/>
      <c r="AC977" s="174">
        <f>AC978+AC979</f>
        <v>172600</v>
      </c>
      <c r="AD977" s="174">
        <f>AD978+AD979</f>
        <v>172600</v>
      </c>
      <c r="AE977" s="178">
        <f>O977/M977*100</f>
        <v>147.72847519200377</v>
      </c>
      <c r="AF977" s="178"/>
      <c r="AG977" s="178"/>
      <c r="AH977" s="178"/>
      <c r="AI977" s="173"/>
      <c r="AJ977" s="173">
        <v>150000</v>
      </c>
      <c r="AK977" s="171">
        <f t="shared" si="589"/>
        <v>757.57575757575762</v>
      </c>
      <c r="AL977" s="171">
        <f t="shared" si="590"/>
        <v>1100</v>
      </c>
      <c r="AM977" s="171">
        <f t="shared" si="590"/>
        <v>27.27272727272727</v>
      </c>
      <c r="AN977" s="98"/>
      <c r="AO977" s="193"/>
      <c r="AP977" s="193" t="e">
        <f t="shared" ca="1" si="586"/>
        <v>#NAME?</v>
      </c>
      <c r="AQ977" s="200">
        <f>AQ978+AQ979</f>
        <v>25437.5</v>
      </c>
      <c r="AR977" s="204">
        <f t="shared" si="591"/>
        <v>757.57575757575762</v>
      </c>
      <c r="AS977" s="204">
        <f t="shared" si="592"/>
        <v>100</v>
      </c>
      <c r="AT977" s="204">
        <f t="shared" si="593"/>
        <v>757.57575757575762</v>
      </c>
      <c r="AU977" s="204">
        <f t="shared" si="594"/>
        <v>50.875</v>
      </c>
      <c r="AV977" s="204">
        <f t="shared" si="595"/>
        <v>385.41666666666663</v>
      </c>
    </row>
    <row r="978" spans="1:48" ht="12" customHeight="1">
      <c r="A978" s="53"/>
      <c r="B978" s="53"/>
      <c r="C978" s="53"/>
      <c r="D978" s="53"/>
      <c r="E978" s="53"/>
      <c r="F978" s="53"/>
      <c r="G978" s="53"/>
      <c r="H978" s="1" t="s">
        <v>787</v>
      </c>
      <c r="I978" s="397">
        <v>911</v>
      </c>
      <c r="J978" s="229">
        <v>4212</v>
      </c>
      <c r="K978" s="18" t="s">
        <v>788</v>
      </c>
      <c r="L978" s="130">
        <v>296739</v>
      </c>
      <c r="M978" s="130">
        <f>296739/7.5345</f>
        <v>39384.033446147718</v>
      </c>
      <c r="N978" s="131">
        <v>438368</v>
      </c>
      <c r="O978" s="131">
        <f>N978/7.5345</f>
        <v>58181.432079102793</v>
      </c>
      <c r="P978" s="132">
        <v>358300</v>
      </c>
      <c r="Q978" s="163">
        <v>6600</v>
      </c>
      <c r="R978" s="159">
        <v>6600</v>
      </c>
      <c r="S978" s="165" t="e">
        <f ca="1">__xlfn.XLOOKUP(H978,[1]Izvršenje_proračuna_po_pozicija!$B$2:$B$153,[1]Izvršenje_proračuna_po_pozicija!$E$2:$E$153,0)</f>
        <v>#NAME?</v>
      </c>
      <c r="T978" s="165"/>
      <c r="U978" s="165"/>
      <c r="V978" s="200">
        <v>50000</v>
      </c>
      <c r="W978" s="200">
        <v>50000</v>
      </c>
      <c r="X978" s="164">
        <v>550000</v>
      </c>
      <c r="Y978" s="378">
        <v>150000</v>
      </c>
      <c r="Z978" s="378"/>
      <c r="AA978" s="370" t="e">
        <f t="shared" ca="1" si="587"/>
        <v>#NAME?</v>
      </c>
      <c r="AB978" s="183"/>
      <c r="AC978" s="178">
        <v>172600</v>
      </c>
      <c r="AD978" s="178">
        <v>172600</v>
      </c>
      <c r="AE978" s="178">
        <f>O978/M978*100</f>
        <v>147.72847519200377</v>
      </c>
      <c r="AF978" s="178"/>
      <c r="AG978" s="178"/>
      <c r="AH978" s="178"/>
      <c r="AI978" s="183"/>
      <c r="AJ978" s="378">
        <v>150000</v>
      </c>
      <c r="AK978" s="171">
        <f t="shared" si="589"/>
        <v>757.57575757575762</v>
      </c>
      <c r="AL978" s="171">
        <f t="shared" si="590"/>
        <v>1100</v>
      </c>
      <c r="AM978" s="171">
        <f t="shared" si="590"/>
        <v>27.27272727272727</v>
      </c>
      <c r="AN978" s="165"/>
      <c r="AO978" s="193"/>
      <c r="AP978" s="193" t="e">
        <f t="shared" ca="1" si="586"/>
        <v>#NAME?</v>
      </c>
      <c r="AQ978" s="200">
        <v>25437.5</v>
      </c>
      <c r="AR978" s="204">
        <f t="shared" si="591"/>
        <v>757.57575757575762</v>
      </c>
      <c r="AS978" s="204">
        <f t="shared" si="592"/>
        <v>100</v>
      </c>
      <c r="AT978" s="204">
        <f t="shared" si="593"/>
        <v>757.57575757575762</v>
      </c>
      <c r="AU978" s="204">
        <f t="shared" si="594"/>
        <v>50.875</v>
      </c>
      <c r="AV978" s="204">
        <f t="shared" si="595"/>
        <v>385.41666666666663</v>
      </c>
    </row>
    <row r="979" spans="1:48" ht="12" customHeight="1">
      <c r="A979" s="53"/>
      <c r="B979" s="53"/>
      <c r="C979" s="53"/>
      <c r="D979" s="53"/>
      <c r="E979" s="53"/>
      <c r="F979" s="53"/>
      <c r="G979" s="53"/>
      <c r="H979" s="16" t="s">
        <v>789</v>
      </c>
      <c r="I979" s="481">
        <v>911</v>
      </c>
      <c r="J979" s="407">
        <v>4212</v>
      </c>
      <c r="K979" s="412" t="s">
        <v>790</v>
      </c>
      <c r="L979" s="413"/>
      <c r="M979" s="413"/>
      <c r="N979" s="414"/>
      <c r="O979" s="414"/>
      <c r="P979" s="415"/>
      <c r="Q979" s="415"/>
      <c r="R979" s="421"/>
      <c r="S979" s="165" t="e">
        <f ca="1">__xlfn.XLOOKUP(H979,[1]Izvršenje_proračuna_po_pozicija!$B$2:$B$153,[1]Izvršenje_proračuna_po_pozicija!$E$2:$E$153,0)</f>
        <v>#NAME?</v>
      </c>
      <c r="T979" s="419"/>
      <c r="U979" s="419"/>
      <c r="V979" s="200"/>
      <c r="W979" s="200"/>
      <c r="X979" s="422"/>
      <c r="Y979" s="429"/>
      <c r="Z979" s="429"/>
      <c r="AA979" s="370" t="e">
        <f t="shared" ca="1" si="587"/>
        <v>#NAME?</v>
      </c>
      <c r="AB979" s="430"/>
      <c r="AC979" s="431"/>
      <c r="AD979" s="431"/>
      <c r="AE979" s="178"/>
      <c r="AF979" s="178"/>
      <c r="AG979" s="178"/>
      <c r="AH979" s="178"/>
      <c r="AI979" s="430"/>
      <c r="AJ979" s="429"/>
      <c r="AK979" s="171"/>
      <c r="AL979" s="171"/>
      <c r="AM979" s="171"/>
      <c r="AN979" s="419"/>
      <c r="AO979" s="193"/>
      <c r="AP979" s="193" t="e">
        <f t="shared" ca="1" si="586"/>
        <v>#NAME?</v>
      </c>
      <c r="AQ979" s="200"/>
      <c r="AR979" s="204"/>
      <c r="AS979" s="204"/>
      <c r="AT979" s="204"/>
      <c r="AU979" s="204"/>
      <c r="AV979" s="204"/>
    </row>
    <row r="980" spans="1:48" ht="12" customHeight="1">
      <c r="A980" s="53"/>
      <c r="B980" s="53"/>
      <c r="C980" s="53"/>
      <c r="D980" s="53"/>
      <c r="E980" s="53"/>
      <c r="F980" s="53"/>
      <c r="G980" s="53"/>
      <c r="H980" s="1"/>
      <c r="I980" s="397"/>
      <c r="J980" s="229"/>
      <c r="K980" s="18"/>
      <c r="L980" s="413"/>
      <c r="M980" s="413"/>
      <c r="N980" s="414"/>
      <c r="O980" s="414"/>
      <c r="P980" s="415"/>
      <c r="Q980" s="415"/>
      <c r="R980" s="421"/>
      <c r="S980" s="419"/>
      <c r="T980" s="419"/>
      <c r="U980" s="419"/>
      <c r="V980" s="200"/>
      <c r="W980" s="200"/>
      <c r="X980" s="422"/>
      <c r="Y980" s="429"/>
      <c r="Z980" s="429"/>
      <c r="AA980" s="370" t="e">
        <f t="shared" ca="1" si="587"/>
        <v>#NAME?</v>
      </c>
      <c r="AB980" s="430"/>
      <c r="AC980" s="431"/>
      <c r="AD980" s="431"/>
      <c r="AE980" s="178"/>
      <c r="AF980" s="178"/>
      <c r="AG980" s="178"/>
      <c r="AH980" s="178"/>
      <c r="AI980" s="430"/>
      <c r="AJ980" s="429"/>
      <c r="AK980" s="171"/>
      <c r="AL980" s="171"/>
      <c r="AM980" s="171"/>
      <c r="AN980" s="419"/>
      <c r="AO980" s="193"/>
      <c r="AP980" s="193" t="e">
        <f t="shared" ca="1" si="586"/>
        <v>#NAME?</v>
      </c>
      <c r="AQ980" s="200"/>
      <c r="AR980" s="204"/>
      <c r="AS980" s="204"/>
      <c r="AT980" s="204"/>
      <c r="AU980" s="204"/>
      <c r="AV980" s="204"/>
    </row>
    <row r="981" spans="1:48" ht="12" customHeight="1">
      <c r="A981" s="524"/>
      <c r="B981" s="525"/>
      <c r="C981" s="525"/>
      <c r="D981" s="525"/>
      <c r="E981" s="525"/>
      <c r="F981" s="525"/>
      <c r="G981" s="526"/>
      <c r="H981" s="527" t="s">
        <v>325</v>
      </c>
      <c r="I981" s="536"/>
      <c r="J981" s="537" t="s">
        <v>791</v>
      </c>
      <c r="K981" s="538"/>
      <c r="L981" s="335">
        <f t="shared" ref="L981:S981" si="616">L983</f>
        <v>3218040</v>
      </c>
      <c r="M981" s="335">
        <f t="shared" si="616"/>
        <v>427107.30639060313</v>
      </c>
      <c r="N981" s="336">
        <f t="shared" si="616"/>
        <v>3652627</v>
      </c>
      <c r="O981" s="336">
        <f t="shared" si="616"/>
        <v>484786.91353109037</v>
      </c>
      <c r="P981" s="337">
        <f t="shared" si="616"/>
        <v>623600</v>
      </c>
      <c r="Q981" s="337">
        <f t="shared" si="616"/>
        <v>550900</v>
      </c>
      <c r="R981" s="359">
        <f t="shared" si="616"/>
        <v>533980</v>
      </c>
      <c r="S981" s="360">
        <f t="shared" si="616"/>
        <v>0</v>
      </c>
      <c r="T981" s="360"/>
      <c r="U981" s="360"/>
      <c r="V981" s="200">
        <f>V983</f>
        <v>750069.92999999993</v>
      </c>
      <c r="W981" s="200">
        <f>W983</f>
        <v>750069.92999999993</v>
      </c>
      <c r="X981" s="359">
        <f>X983</f>
        <v>889240</v>
      </c>
      <c r="Y981" s="371">
        <f>Y983</f>
        <v>902352.3</v>
      </c>
      <c r="Z981" s="371">
        <f>Z983</f>
        <v>0</v>
      </c>
      <c r="AA981" s="370" t="e">
        <f t="shared" ca="1" si="587"/>
        <v>#NAME?</v>
      </c>
      <c r="AB981" s="371"/>
      <c r="AC981" s="372">
        <f>AC983</f>
        <v>626400</v>
      </c>
      <c r="AD981" s="372">
        <f>AD983</f>
        <v>626400</v>
      </c>
      <c r="AE981" s="178">
        <f>O981/M981*100</f>
        <v>113.50471094206415</v>
      </c>
      <c r="AF981" s="178">
        <f>P981/O981*100</f>
        <v>128.63383531907309</v>
      </c>
      <c r="AG981" s="178">
        <f>Q981/P981*100</f>
        <v>88.341885824246319</v>
      </c>
      <c r="AH981" s="178">
        <f>AC981/Q981*100</f>
        <v>113.70484661463061</v>
      </c>
      <c r="AI981" s="371"/>
      <c r="AJ981" s="371">
        <v>902352.3</v>
      </c>
      <c r="AK981" s="171">
        <f t="shared" ref="AK981:AK1044" si="617">W981/R981*100</f>
        <v>140.46779467395783</v>
      </c>
      <c r="AL981" s="171">
        <f t="shared" ref="AL981:AM1044" si="618">X981/W981*100</f>
        <v>118.55427933232841</v>
      </c>
      <c r="AM981" s="171">
        <f t="shared" si="618"/>
        <v>101.47455130223561</v>
      </c>
      <c r="AN981" s="360"/>
      <c r="AO981" s="193"/>
      <c r="AP981" s="193" t="e">
        <f t="shared" ca="1" si="586"/>
        <v>#NAME?</v>
      </c>
      <c r="AQ981" s="200">
        <f>AQ983</f>
        <v>693529.97</v>
      </c>
      <c r="AR981" s="204">
        <f t="shared" si="591"/>
        <v>140.46779467395783</v>
      </c>
      <c r="AS981" s="204">
        <f t="shared" si="592"/>
        <v>100</v>
      </c>
      <c r="AT981" s="204">
        <f t="shared" si="593"/>
        <v>140.46779467395783</v>
      </c>
      <c r="AU981" s="204">
        <f t="shared" si="594"/>
        <v>92.462041505916659</v>
      </c>
      <c r="AV981" s="204">
        <f t="shared" si="595"/>
        <v>129.87939061388067</v>
      </c>
    </row>
    <row r="982" spans="1:48" ht="12" customHeight="1">
      <c r="A982" s="528"/>
      <c r="B982" s="529"/>
      <c r="C982" s="529"/>
      <c r="D982" s="529"/>
      <c r="E982" s="529"/>
      <c r="F982" s="529"/>
      <c r="G982" s="530"/>
      <c r="H982" s="17" t="s">
        <v>792</v>
      </c>
      <c r="I982" s="539"/>
      <c r="J982" s="540"/>
      <c r="K982" s="541">
        <v>30435</v>
      </c>
      <c r="L982" s="466"/>
      <c r="M982" s="466"/>
      <c r="N982" s="467"/>
      <c r="O982" s="467"/>
      <c r="P982" s="468"/>
      <c r="Q982" s="468"/>
      <c r="R982" s="282"/>
      <c r="S982" s="222"/>
      <c r="T982" s="222"/>
      <c r="U982" s="222"/>
      <c r="V982" s="200"/>
      <c r="W982" s="200"/>
      <c r="X982" s="167"/>
      <c r="Y982" s="424"/>
      <c r="Z982" s="424"/>
      <c r="AA982" s="370" t="e">
        <f t="shared" ca="1" si="587"/>
        <v>#NAME?</v>
      </c>
      <c r="AB982" s="223"/>
      <c r="AC982" s="224"/>
      <c r="AD982" s="224"/>
      <c r="AE982" s="178"/>
      <c r="AF982" s="178"/>
      <c r="AG982" s="178"/>
      <c r="AH982" s="178"/>
      <c r="AI982" s="223"/>
      <c r="AJ982" s="424"/>
      <c r="AK982" s="171"/>
      <c r="AL982" s="171"/>
      <c r="AM982" s="171"/>
      <c r="AN982" s="222"/>
      <c r="AO982" s="193"/>
      <c r="AP982" s="193" t="e">
        <f t="shared" ca="1" si="586"/>
        <v>#NAME?</v>
      </c>
      <c r="AQ982" s="200"/>
      <c r="AR982" s="204"/>
      <c r="AS982" s="204"/>
      <c r="AT982" s="204"/>
      <c r="AU982" s="204"/>
      <c r="AV982" s="204"/>
    </row>
    <row r="983" spans="1:48" ht="12" customHeight="1">
      <c r="A983" s="295" t="s">
        <v>793</v>
      </c>
      <c r="B983" s="296"/>
      <c r="C983" s="296"/>
      <c r="D983" s="296"/>
      <c r="E983" s="296"/>
      <c r="F983" s="296"/>
      <c r="G983" s="518"/>
      <c r="H983" s="519"/>
      <c r="I983" s="533" t="s">
        <v>794</v>
      </c>
      <c r="J983" s="490"/>
      <c r="K983" s="297"/>
      <c r="L983" s="112">
        <f t="shared" ref="L983:S983" si="619">L984+L1007+L1046+L1054</f>
        <v>3218040</v>
      </c>
      <c r="M983" s="112">
        <f t="shared" si="619"/>
        <v>427107.30639060313</v>
      </c>
      <c r="N983" s="113">
        <f t="shared" si="619"/>
        <v>3652627</v>
      </c>
      <c r="O983" s="113">
        <f t="shared" si="619"/>
        <v>484786.91353109037</v>
      </c>
      <c r="P983" s="114">
        <f t="shared" si="619"/>
        <v>623600</v>
      </c>
      <c r="Q983" s="114">
        <f t="shared" si="619"/>
        <v>550900</v>
      </c>
      <c r="R983" s="88">
        <f t="shared" si="619"/>
        <v>533980</v>
      </c>
      <c r="S983" s="90">
        <f t="shared" si="619"/>
        <v>0</v>
      </c>
      <c r="T983" s="90"/>
      <c r="U983" s="90"/>
      <c r="V983" s="200">
        <f>V984+V1007+V1046+V1054</f>
        <v>750069.92999999993</v>
      </c>
      <c r="W983" s="200">
        <f>W984+W1007+W1046+W1054</f>
        <v>750069.92999999993</v>
      </c>
      <c r="X983" s="88">
        <f>X984+X1007+X1046+X1054</f>
        <v>889240</v>
      </c>
      <c r="Y983" s="171">
        <f>Y984+Y1007+Y1046+Y1054</f>
        <v>902352.3</v>
      </c>
      <c r="Z983" s="171">
        <f>Z984+Z1007+Z1046+Z1054</f>
        <v>0</v>
      </c>
      <c r="AA983" s="370" t="e">
        <f t="shared" ca="1" si="587"/>
        <v>#NAME?</v>
      </c>
      <c r="AB983" s="171"/>
      <c r="AC983" s="172">
        <f>AC984+AC1007+AC1046+AC1054</f>
        <v>626400</v>
      </c>
      <c r="AD983" s="172">
        <f>AD984+AD1007+AD1046+AD1054</f>
        <v>626400</v>
      </c>
      <c r="AE983" s="178">
        <f>O983/M983*100</f>
        <v>113.50471094206415</v>
      </c>
      <c r="AF983" s="178">
        <f>P983/O983*100</f>
        <v>128.63383531907309</v>
      </c>
      <c r="AG983" s="178">
        <f>Q983/P983*100</f>
        <v>88.341885824246319</v>
      </c>
      <c r="AH983" s="178">
        <f>AC983/Q983*100</f>
        <v>113.70484661463061</v>
      </c>
      <c r="AI983" s="171"/>
      <c r="AJ983" s="171">
        <v>902352.3</v>
      </c>
      <c r="AK983" s="171">
        <f t="shared" si="617"/>
        <v>140.46779467395783</v>
      </c>
      <c r="AL983" s="171">
        <f t="shared" si="618"/>
        <v>118.55427933232841</v>
      </c>
      <c r="AM983" s="171">
        <f t="shared" si="618"/>
        <v>101.47455130223561</v>
      </c>
      <c r="AN983" s="90"/>
      <c r="AO983" s="193"/>
      <c r="AP983" s="193" t="e">
        <f t="shared" ca="1" si="586"/>
        <v>#NAME?</v>
      </c>
      <c r="AQ983" s="200">
        <f>AQ984+AQ1007+AQ1046+AQ1054</f>
        <v>693529.97</v>
      </c>
      <c r="AR983" s="204">
        <f t="shared" si="591"/>
        <v>140.46779467395783</v>
      </c>
      <c r="AS983" s="204">
        <f t="shared" si="592"/>
        <v>100</v>
      </c>
      <c r="AT983" s="204">
        <f t="shared" si="593"/>
        <v>140.46779467395783</v>
      </c>
      <c r="AU983" s="204">
        <f t="shared" si="594"/>
        <v>92.462041505916659</v>
      </c>
      <c r="AV983" s="204">
        <f t="shared" si="595"/>
        <v>129.87939061388067</v>
      </c>
    </row>
    <row r="984" spans="1:48" ht="12" customHeight="1">
      <c r="A984" s="520" t="s">
        <v>331</v>
      </c>
      <c r="B984" s="521"/>
      <c r="C984" s="521"/>
      <c r="D984" s="521"/>
      <c r="E984" s="521"/>
      <c r="F984" s="521"/>
      <c r="G984" s="521"/>
      <c r="H984" s="522"/>
      <c r="I984" s="12" t="s">
        <v>795</v>
      </c>
      <c r="J984" s="486"/>
      <c r="K984" s="300"/>
      <c r="L984" s="112">
        <f t="shared" ref="L984:S984" si="620">L986</f>
        <v>2562776</v>
      </c>
      <c r="M984" s="112">
        <f t="shared" si="620"/>
        <v>340138.8280576017</v>
      </c>
      <c r="N984" s="113">
        <f t="shared" si="620"/>
        <v>2734630</v>
      </c>
      <c r="O984" s="113">
        <f t="shared" si="620"/>
        <v>362947.77357488888</v>
      </c>
      <c r="P984" s="114">
        <f t="shared" si="620"/>
        <v>497600</v>
      </c>
      <c r="Q984" s="114">
        <f t="shared" si="620"/>
        <v>429600</v>
      </c>
      <c r="R984" s="88">
        <f t="shared" si="620"/>
        <v>404073</v>
      </c>
      <c r="S984" s="90">
        <f t="shared" si="620"/>
        <v>0</v>
      </c>
      <c r="T984" s="90"/>
      <c r="U984" s="90"/>
      <c r="V984" s="200">
        <f>V986</f>
        <v>594050</v>
      </c>
      <c r="W984" s="200">
        <f>W986</f>
        <v>594050</v>
      </c>
      <c r="X984" s="88">
        <f>X986</f>
        <v>737500</v>
      </c>
      <c r="Y984" s="171">
        <f>Y986</f>
        <v>742500.6</v>
      </c>
      <c r="Z984" s="171">
        <f>Z986</f>
        <v>0</v>
      </c>
      <c r="AA984" s="370" t="e">
        <f t="shared" ca="1" si="587"/>
        <v>#NAME?</v>
      </c>
      <c r="AB984" s="171"/>
      <c r="AC984" s="172">
        <f>AC986</f>
        <v>498300</v>
      </c>
      <c r="AD984" s="172">
        <f>AD986</f>
        <v>498300</v>
      </c>
      <c r="AE984" s="178">
        <f>O984/M984*100</f>
        <v>106.70577529990916</v>
      </c>
      <c r="AF984" s="178">
        <f>P984/O984*100</f>
        <v>137.09961493876682</v>
      </c>
      <c r="AG984" s="178">
        <f>Q984/P984*100</f>
        <v>86.334405144694543</v>
      </c>
      <c r="AH984" s="178">
        <f>AC984/Q984*100</f>
        <v>115.99162011173185</v>
      </c>
      <c r="AI984" s="171"/>
      <c r="AJ984" s="171">
        <v>742500.6</v>
      </c>
      <c r="AK984" s="171">
        <f t="shared" si="617"/>
        <v>147.01551452336582</v>
      </c>
      <c r="AL984" s="171">
        <f t="shared" si="618"/>
        <v>124.14779900681761</v>
      </c>
      <c r="AM984" s="171">
        <f t="shared" si="618"/>
        <v>100.67804745762712</v>
      </c>
      <c r="AN984" s="90"/>
      <c r="AO984" s="193"/>
      <c r="AP984" s="193" t="e">
        <f t="shared" ca="1" si="586"/>
        <v>#NAME?</v>
      </c>
      <c r="AQ984" s="200">
        <f>AQ986</f>
        <v>529932.23</v>
      </c>
      <c r="AR984" s="204">
        <f t="shared" si="591"/>
        <v>147.01551452336582</v>
      </c>
      <c r="AS984" s="204">
        <f t="shared" si="592"/>
        <v>100</v>
      </c>
      <c r="AT984" s="204">
        <f t="shared" si="593"/>
        <v>147.01551452336582</v>
      </c>
      <c r="AU984" s="204">
        <f t="shared" si="594"/>
        <v>89.206671155626623</v>
      </c>
      <c r="AV984" s="204">
        <f t="shared" si="595"/>
        <v>131.14764658861148</v>
      </c>
    </row>
    <row r="985" spans="1:48" ht="12" customHeight="1">
      <c r="A985" s="69"/>
      <c r="B985" s="69"/>
      <c r="C985" s="69"/>
      <c r="D985" s="69"/>
      <c r="E985" s="69"/>
      <c r="F985" s="69"/>
      <c r="G985" s="69"/>
      <c r="H985" s="436"/>
      <c r="I985" s="3"/>
      <c r="J985" s="7"/>
      <c r="K985" s="7"/>
      <c r="L985" s="85"/>
      <c r="M985" s="85"/>
      <c r="N985" s="86"/>
      <c r="O985" s="86"/>
      <c r="P985" s="87"/>
      <c r="Q985" s="87"/>
      <c r="R985" s="160"/>
      <c r="S985" s="161"/>
      <c r="T985" s="161"/>
      <c r="U985" s="161"/>
      <c r="V985" s="200"/>
      <c r="W985" s="200"/>
      <c r="X985" s="361"/>
      <c r="Y985" s="373"/>
      <c r="Z985" s="373"/>
      <c r="AA985" s="370" t="e">
        <f t="shared" ca="1" si="587"/>
        <v>#NAME?</v>
      </c>
      <c r="AB985" s="181"/>
      <c r="AC985" s="182"/>
      <c r="AD985" s="182"/>
      <c r="AE985" s="178"/>
      <c r="AF985" s="178"/>
      <c r="AG985" s="178"/>
      <c r="AH985" s="178"/>
      <c r="AI985" s="181"/>
      <c r="AJ985" s="373"/>
      <c r="AK985" s="171"/>
      <c r="AL985" s="171"/>
      <c r="AM985" s="171"/>
      <c r="AN985" s="161"/>
      <c r="AO985" s="193"/>
      <c r="AP985" s="193" t="e">
        <f t="shared" ca="1" si="586"/>
        <v>#NAME?</v>
      </c>
      <c r="AQ985" s="200"/>
      <c r="AR985" s="204"/>
      <c r="AS985" s="204"/>
      <c r="AT985" s="204"/>
      <c r="AU985" s="204"/>
      <c r="AV985" s="204"/>
    </row>
    <row r="986" spans="1:48" ht="12" customHeight="1">
      <c r="A986" s="42"/>
      <c r="B986" s="42"/>
      <c r="C986" s="42"/>
      <c r="D986" s="42"/>
      <c r="E986" s="42"/>
      <c r="F986" s="42"/>
      <c r="G986" s="42"/>
      <c r="H986" s="475"/>
      <c r="I986" s="8"/>
      <c r="J986" s="281">
        <v>3</v>
      </c>
      <c r="K986" s="2" t="s">
        <v>224</v>
      </c>
      <c r="L986" s="112">
        <f t="shared" ref="L986:S986" si="621">L987+L1000</f>
        <v>2562776</v>
      </c>
      <c r="M986" s="112">
        <f t="shared" si="621"/>
        <v>340138.8280576017</v>
      </c>
      <c r="N986" s="113">
        <f t="shared" si="621"/>
        <v>2734630</v>
      </c>
      <c r="O986" s="113">
        <f t="shared" si="621"/>
        <v>362947.77357488888</v>
      </c>
      <c r="P986" s="114">
        <f t="shared" si="621"/>
        <v>497600</v>
      </c>
      <c r="Q986" s="114">
        <f t="shared" si="621"/>
        <v>429600</v>
      </c>
      <c r="R986" s="88">
        <f t="shared" si="621"/>
        <v>404073</v>
      </c>
      <c r="S986" s="90">
        <f t="shared" si="621"/>
        <v>0</v>
      </c>
      <c r="T986" s="90"/>
      <c r="U986" s="90"/>
      <c r="V986" s="200">
        <f>V987+V1000</f>
        <v>594050</v>
      </c>
      <c r="W986" s="200">
        <f>W987+W1000</f>
        <v>594050</v>
      </c>
      <c r="X986" s="88">
        <f>X987+X1000</f>
        <v>737500</v>
      </c>
      <c r="Y986" s="171">
        <f>Y987+Y1000</f>
        <v>742500.6</v>
      </c>
      <c r="Z986" s="171">
        <f>Z987+Z1000</f>
        <v>0</v>
      </c>
      <c r="AA986" s="370" t="e">
        <f t="shared" ca="1" si="587"/>
        <v>#NAME?</v>
      </c>
      <c r="AB986" s="171"/>
      <c r="AC986" s="172">
        <f>AC987+AC1000</f>
        <v>498300</v>
      </c>
      <c r="AD986" s="172">
        <f>AD987+AD1000</f>
        <v>498300</v>
      </c>
      <c r="AE986" s="178">
        <f>O986/M986*100</f>
        <v>106.70577529990916</v>
      </c>
      <c r="AF986" s="178">
        <f>P986/O986*100</f>
        <v>137.09961493876682</v>
      </c>
      <c r="AG986" s="178">
        <f>Q986/P986*100</f>
        <v>86.334405144694543</v>
      </c>
      <c r="AH986" s="178">
        <f>AC986/Q986*100</f>
        <v>115.99162011173185</v>
      </c>
      <c r="AI986" s="171"/>
      <c r="AJ986" s="171">
        <v>742500.6</v>
      </c>
      <c r="AK986" s="171">
        <f t="shared" si="617"/>
        <v>147.01551452336582</v>
      </c>
      <c r="AL986" s="171">
        <f t="shared" si="618"/>
        <v>124.14779900681761</v>
      </c>
      <c r="AM986" s="171">
        <f t="shared" si="618"/>
        <v>100.67804745762712</v>
      </c>
      <c r="AN986" s="90"/>
      <c r="AO986" s="193"/>
      <c r="AP986" s="193" t="e">
        <f t="shared" ca="1" si="586"/>
        <v>#NAME?</v>
      </c>
      <c r="AQ986" s="200">
        <f>AQ987+AQ1000</f>
        <v>529932.23</v>
      </c>
      <c r="AR986" s="204">
        <f t="shared" si="591"/>
        <v>147.01551452336582</v>
      </c>
      <c r="AS986" s="204">
        <f t="shared" si="592"/>
        <v>100</v>
      </c>
      <c r="AT986" s="204">
        <f t="shared" si="593"/>
        <v>147.01551452336582</v>
      </c>
      <c r="AU986" s="204">
        <f t="shared" si="594"/>
        <v>89.206671155626623</v>
      </c>
      <c r="AV986" s="204">
        <f t="shared" si="595"/>
        <v>131.14764658861148</v>
      </c>
    </row>
    <row r="987" spans="1:48" ht="12" customHeight="1">
      <c r="A987" s="476"/>
      <c r="B987" s="476"/>
      <c r="C987" s="476"/>
      <c r="D987" s="476"/>
      <c r="E987" s="476"/>
      <c r="F987" s="476"/>
      <c r="G987" s="476"/>
      <c r="H987" s="22"/>
      <c r="I987" s="9"/>
      <c r="J987" s="302">
        <v>31</v>
      </c>
      <c r="K987" s="343" t="s">
        <v>225</v>
      </c>
      <c r="L987" s="112">
        <f t="shared" ref="L987:S987" si="622">L989+L992+L995</f>
        <v>2433988</v>
      </c>
      <c r="M987" s="112">
        <f t="shared" si="622"/>
        <v>323045.72300749883</v>
      </c>
      <c r="N987" s="113">
        <f t="shared" si="622"/>
        <v>2554890</v>
      </c>
      <c r="O987" s="113">
        <f t="shared" si="622"/>
        <v>339092.17599044397</v>
      </c>
      <c r="P987" s="114">
        <f t="shared" si="622"/>
        <v>467700</v>
      </c>
      <c r="Q987" s="114">
        <f t="shared" si="622"/>
        <v>396300</v>
      </c>
      <c r="R987" s="88">
        <f t="shared" si="622"/>
        <v>372990</v>
      </c>
      <c r="S987" s="90">
        <f t="shared" si="622"/>
        <v>0</v>
      </c>
      <c r="T987" s="90"/>
      <c r="U987" s="90"/>
      <c r="V987" s="200">
        <f>V989+V992+V995</f>
        <v>558150</v>
      </c>
      <c r="W987" s="200">
        <f>W989+W992+W995</f>
        <v>558150</v>
      </c>
      <c r="X987" s="88">
        <f>X989+X992+X995</f>
        <v>689100</v>
      </c>
      <c r="Y987" s="171">
        <f>Y989+Y992+Y995</f>
        <v>692600.1</v>
      </c>
      <c r="Z987" s="171">
        <f>Z989+Z992+Z995</f>
        <v>0</v>
      </c>
      <c r="AA987" s="370" t="e">
        <f t="shared" ca="1" si="587"/>
        <v>#NAME?</v>
      </c>
      <c r="AB987" s="171"/>
      <c r="AC987" s="172">
        <f>AC989+AC992+AC995</f>
        <v>468300</v>
      </c>
      <c r="AD987" s="172">
        <f>AD989+AD992+AD995</f>
        <v>468300</v>
      </c>
      <c r="AE987" s="178">
        <f>O987/M987*100</f>
        <v>104.96723895105482</v>
      </c>
      <c r="AF987" s="178">
        <f>P987/O987*100</f>
        <v>137.92709862264127</v>
      </c>
      <c r="AG987" s="178">
        <f>Q987/P987*100</f>
        <v>84.73380372033354</v>
      </c>
      <c r="AH987" s="178">
        <f>AC987/Q987*100</f>
        <v>118.16805450416352</v>
      </c>
      <c r="AI987" s="171"/>
      <c r="AJ987" s="171">
        <v>692600.1</v>
      </c>
      <c r="AK987" s="171">
        <f t="shared" si="617"/>
        <v>149.6420815571463</v>
      </c>
      <c r="AL987" s="171">
        <f t="shared" si="618"/>
        <v>123.46143509809191</v>
      </c>
      <c r="AM987" s="171">
        <f t="shared" si="618"/>
        <v>100.50792337831955</v>
      </c>
      <c r="AN987" s="90"/>
      <c r="AO987" s="193"/>
      <c r="AP987" s="193" t="e">
        <f t="shared" ca="1" si="586"/>
        <v>#NAME?</v>
      </c>
      <c r="AQ987" s="200">
        <f>AQ989+AQ992+AQ995</f>
        <v>497454.86</v>
      </c>
      <c r="AR987" s="204">
        <f t="shared" si="591"/>
        <v>149.6420815571463</v>
      </c>
      <c r="AS987" s="204">
        <f t="shared" si="592"/>
        <v>100</v>
      </c>
      <c r="AT987" s="204">
        <f t="shared" si="593"/>
        <v>149.6420815571463</v>
      </c>
      <c r="AU987" s="204">
        <f t="shared" si="594"/>
        <v>89.125657977246249</v>
      </c>
      <c r="AV987" s="204">
        <f t="shared" si="595"/>
        <v>133.36948979865412</v>
      </c>
    </row>
    <row r="988" spans="1:48" ht="12" customHeight="1">
      <c r="A988" s="69"/>
      <c r="B988" s="69"/>
      <c r="C988" s="69"/>
      <c r="D988" s="69"/>
      <c r="E988" s="69"/>
      <c r="F988" s="69"/>
      <c r="G988" s="69"/>
      <c r="H988" s="389"/>
      <c r="I988" s="449"/>
      <c r="J988" s="7"/>
      <c r="K988" s="70"/>
      <c r="L988" s="217"/>
      <c r="M988" s="217"/>
      <c r="N988" s="218"/>
      <c r="O988" s="218"/>
      <c r="P988" s="219"/>
      <c r="Q988" s="219"/>
      <c r="R988" s="282"/>
      <c r="S988" s="222"/>
      <c r="T988" s="222"/>
      <c r="U988" s="222"/>
      <c r="V988" s="200"/>
      <c r="W988" s="200"/>
      <c r="X988" s="167"/>
      <c r="Y988" s="424"/>
      <c r="Z988" s="424"/>
      <c r="AA988" s="370" t="e">
        <f t="shared" ca="1" si="587"/>
        <v>#NAME?</v>
      </c>
      <c r="AB988" s="223"/>
      <c r="AC988" s="224"/>
      <c r="AD988" s="224"/>
      <c r="AE988" s="178"/>
      <c r="AF988" s="178"/>
      <c r="AG988" s="178"/>
      <c r="AH988" s="178"/>
      <c r="AI988" s="223"/>
      <c r="AJ988" s="424"/>
      <c r="AK988" s="171"/>
      <c r="AL988" s="171"/>
      <c r="AM988" s="171"/>
      <c r="AN988" s="222"/>
      <c r="AO988" s="193"/>
      <c r="AP988" s="193" t="e">
        <f t="shared" ca="1" si="586"/>
        <v>#NAME?</v>
      </c>
      <c r="AQ988" s="200"/>
      <c r="AR988" s="204"/>
      <c r="AS988" s="204"/>
      <c r="AT988" s="204"/>
      <c r="AU988" s="204"/>
      <c r="AV988" s="204"/>
    </row>
    <row r="989" spans="1:48" ht="12" customHeight="1">
      <c r="A989" s="473"/>
      <c r="B989" s="473"/>
      <c r="C989" s="473"/>
      <c r="D989" s="473"/>
      <c r="E989" s="473"/>
      <c r="F989" s="473"/>
      <c r="G989" s="473"/>
      <c r="H989" s="523"/>
      <c r="I989" s="534"/>
      <c r="J989" s="535">
        <v>311</v>
      </c>
      <c r="K989" s="310" t="s">
        <v>333</v>
      </c>
      <c r="L989" s="311">
        <f t="shared" ref="L989:Z989" si="623">L990</f>
        <v>2042317</v>
      </c>
      <c r="M989" s="311">
        <f t="shared" si="623"/>
        <v>271062.04791293381</v>
      </c>
      <c r="N989" s="312">
        <f t="shared" si="623"/>
        <v>2128913</v>
      </c>
      <c r="O989" s="312">
        <f t="shared" si="623"/>
        <v>282555.31223040679</v>
      </c>
      <c r="P989" s="313">
        <f t="shared" si="623"/>
        <v>409400</v>
      </c>
      <c r="Q989" s="313">
        <f t="shared" si="623"/>
        <v>323300</v>
      </c>
      <c r="R989" s="96">
        <f t="shared" si="623"/>
        <v>313632</v>
      </c>
      <c r="S989" s="98">
        <f t="shared" si="623"/>
        <v>0</v>
      </c>
      <c r="T989" s="98"/>
      <c r="U989" s="98"/>
      <c r="V989" s="200">
        <f>V990</f>
        <v>470000</v>
      </c>
      <c r="W989" s="200">
        <f t="shared" si="623"/>
        <v>470000</v>
      </c>
      <c r="X989" s="96">
        <f t="shared" si="623"/>
        <v>582000</v>
      </c>
      <c r="Y989" s="173">
        <f t="shared" si="623"/>
        <v>585000</v>
      </c>
      <c r="Z989" s="173">
        <f t="shared" si="623"/>
        <v>0</v>
      </c>
      <c r="AA989" s="370" t="e">
        <f t="shared" ca="1" si="587"/>
        <v>#NAME?</v>
      </c>
      <c r="AB989" s="173"/>
      <c r="AC989" s="174">
        <f>AC990</f>
        <v>410000</v>
      </c>
      <c r="AD989" s="174">
        <f>AD990</f>
        <v>410000</v>
      </c>
      <c r="AE989" s="178">
        <f>O989/M989*100</f>
        <v>104.24008613746057</v>
      </c>
      <c r="AF989" s="178">
        <f>P989/O989*100</f>
        <v>144.89198478284459</v>
      </c>
      <c r="AG989" s="178">
        <f>Q989/P989*100</f>
        <v>78.96922325354177</v>
      </c>
      <c r="AH989" s="178">
        <f>AC989/Q989*100</f>
        <v>126.8171976492422</v>
      </c>
      <c r="AI989" s="173"/>
      <c r="AJ989" s="173">
        <v>585000</v>
      </c>
      <c r="AK989" s="171">
        <f t="shared" si="617"/>
        <v>149.85715743291502</v>
      </c>
      <c r="AL989" s="171">
        <f t="shared" si="618"/>
        <v>123.82978723404254</v>
      </c>
      <c r="AM989" s="171">
        <f t="shared" si="618"/>
        <v>100.51546391752578</v>
      </c>
      <c r="AN989" s="98"/>
      <c r="AO989" s="193"/>
      <c r="AP989" s="193" t="e">
        <f t="shared" ca="1" si="586"/>
        <v>#NAME?</v>
      </c>
      <c r="AQ989" s="200">
        <f>AQ990</f>
        <v>418981.35</v>
      </c>
      <c r="AR989" s="204">
        <f t="shared" si="591"/>
        <v>149.85715743291502</v>
      </c>
      <c r="AS989" s="204">
        <f t="shared" si="592"/>
        <v>100</v>
      </c>
      <c r="AT989" s="204">
        <f t="shared" si="593"/>
        <v>149.85715743291502</v>
      </c>
      <c r="AU989" s="204">
        <f t="shared" si="594"/>
        <v>89.144968085106385</v>
      </c>
      <c r="AV989" s="204">
        <f t="shared" si="595"/>
        <v>133.59011516681971</v>
      </c>
    </row>
    <row r="990" spans="1:48" ht="12" customHeight="1">
      <c r="A990" s="53"/>
      <c r="B990" s="53"/>
      <c r="C990" s="53"/>
      <c r="D990" s="53"/>
      <c r="E990" s="53"/>
      <c r="F990" s="53"/>
      <c r="G990" s="53"/>
      <c r="H990" s="1">
        <v>32</v>
      </c>
      <c r="I990" s="397">
        <v>911</v>
      </c>
      <c r="J990" s="229">
        <v>3111</v>
      </c>
      <c r="K990" s="18" t="s">
        <v>227</v>
      </c>
      <c r="L990" s="130">
        <v>2042317</v>
      </c>
      <c r="M990" s="130">
        <f>2042317/7.5345</f>
        <v>271062.04791293381</v>
      </c>
      <c r="N990" s="131">
        <v>2128913</v>
      </c>
      <c r="O990" s="131">
        <f>N990/7.5345</f>
        <v>282555.31223040679</v>
      </c>
      <c r="P990" s="132">
        <v>409400</v>
      </c>
      <c r="Q990" s="163">
        <v>323300</v>
      </c>
      <c r="R990" s="159">
        <v>313632</v>
      </c>
      <c r="S990" s="165"/>
      <c r="T990" s="165"/>
      <c r="U990" s="165"/>
      <c r="V990" s="200">
        <v>470000</v>
      </c>
      <c r="W990" s="200">
        <v>470000</v>
      </c>
      <c r="X990" s="164">
        <v>582000</v>
      </c>
      <c r="Y990" s="378">
        <v>585000</v>
      </c>
      <c r="Z990" s="378"/>
      <c r="AA990" s="370" t="e">
        <f t="shared" ca="1" si="587"/>
        <v>#NAME?</v>
      </c>
      <c r="AB990" s="183"/>
      <c r="AC990" s="178">
        <v>410000</v>
      </c>
      <c r="AD990" s="178">
        <v>410000</v>
      </c>
      <c r="AE990" s="178">
        <f>O990/M990*100</f>
        <v>104.24008613746057</v>
      </c>
      <c r="AF990" s="178">
        <f>P990/O990*100</f>
        <v>144.89198478284459</v>
      </c>
      <c r="AG990" s="178">
        <f>Q990/P990*100</f>
        <v>78.96922325354177</v>
      </c>
      <c r="AH990" s="178">
        <f>AC990/Q990*100</f>
        <v>126.8171976492422</v>
      </c>
      <c r="AI990" s="183"/>
      <c r="AJ990" s="378">
        <v>585000</v>
      </c>
      <c r="AK990" s="171">
        <f t="shared" si="617"/>
        <v>149.85715743291502</v>
      </c>
      <c r="AL990" s="171">
        <f t="shared" si="618"/>
        <v>123.82978723404254</v>
      </c>
      <c r="AM990" s="171">
        <f t="shared" si="618"/>
        <v>100.51546391752578</v>
      </c>
      <c r="AN990" s="165"/>
      <c r="AO990" s="193"/>
      <c r="AP990" s="193" t="e">
        <f t="shared" ca="1" si="586"/>
        <v>#NAME?</v>
      </c>
      <c r="AQ990" s="200">
        <v>418981.35</v>
      </c>
      <c r="AR990" s="204">
        <f t="shared" si="591"/>
        <v>149.85715743291502</v>
      </c>
      <c r="AS990" s="204">
        <f t="shared" si="592"/>
        <v>100</v>
      </c>
      <c r="AT990" s="204">
        <f t="shared" si="593"/>
        <v>149.85715743291502</v>
      </c>
      <c r="AU990" s="204">
        <f t="shared" si="594"/>
        <v>89.144968085106385</v>
      </c>
      <c r="AV990" s="204">
        <f t="shared" si="595"/>
        <v>133.59011516681971</v>
      </c>
    </row>
    <row r="991" spans="1:48" ht="12" customHeight="1">
      <c r="A991" s="69"/>
      <c r="B991" s="69"/>
      <c r="C991" s="69"/>
      <c r="D991" s="69"/>
      <c r="E991" s="69"/>
      <c r="F991" s="69"/>
      <c r="G991" s="69"/>
      <c r="H991" s="436"/>
      <c r="I991" s="341"/>
      <c r="J991" s="281"/>
      <c r="K991" s="70"/>
      <c r="L991" s="217"/>
      <c r="M991" s="217"/>
      <c r="N991" s="218"/>
      <c r="O991" s="218"/>
      <c r="P991" s="219"/>
      <c r="Q991" s="219"/>
      <c r="R991" s="282"/>
      <c r="S991" s="222"/>
      <c r="T991" s="222"/>
      <c r="U991" s="222"/>
      <c r="V991" s="200"/>
      <c r="W991" s="200"/>
      <c r="X991" s="167"/>
      <c r="Y991" s="424"/>
      <c r="Z991" s="424"/>
      <c r="AA991" s="370" t="e">
        <f t="shared" ca="1" si="587"/>
        <v>#NAME?</v>
      </c>
      <c r="AB991" s="223"/>
      <c r="AC991" s="224"/>
      <c r="AD991" s="224"/>
      <c r="AE991" s="178"/>
      <c r="AF991" s="178"/>
      <c r="AG991" s="178"/>
      <c r="AH991" s="178"/>
      <c r="AI991" s="223"/>
      <c r="AJ991" s="424"/>
      <c r="AK991" s="171"/>
      <c r="AL991" s="171"/>
      <c r="AM991" s="171"/>
      <c r="AN991" s="222"/>
      <c r="AO991" s="193"/>
      <c r="AP991" s="193" t="e">
        <f t="shared" ref="AP991:AP1054" ca="1" si="624">__xlfn.ISFORMULA(X991)</f>
        <v>#NAME?</v>
      </c>
      <c r="AQ991" s="200"/>
      <c r="AR991" s="204"/>
      <c r="AS991" s="204"/>
      <c r="AT991" s="204"/>
      <c r="AU991" s="204"/>
      <c r="AV991" s="204"/>
    </row>
    <row r="992" spans="1:48" ht="12" customHeight="1">
      <c r="A992" s="62"/>
      <c r="B992" s="62"/>
      <c r="C992" s="62"/>
      <c r="D992" s="62"/>
      <c r="E992" s="62"/>
      <c r="F992" s="62"/>
      <c r="G992" s="62"/>
      <c r="H992" s="388"/>
      <c r="I992" s="542"/>
      <c r="J992" s="399">
        <v>312</v>
      </c>
      <c r="K992" s="400" t="s">
        <v>337</v>
      </c>
      <c r="L992" s="335">
        <f t="shared" ref="L992:Z992" si="625">L993</f>
        <v>39500</v>
      </c>
      <c r="M992" s="335">
        <f t="shared" si="625"/>
        <v>5242.5509323777287</v>
      </c>
      <c r="N992" s="336">
        <f t="shared" si="625"/>
        <v>94000</v>
      </c>
      <c r="O992" s="336">
        <f t="shared" si="625"/>
        <v>12475.943990974849</v>
      </c>
      <c r="P992" s="337">
        <f t="shared" si="625"/>
        <v>8000</v>
      </c>
      <c r="Q992" s="337">
        <f t="shared" si="625"/>
        <v>18000</v>
      </c>
      <c r="R992" s="359">
        <f t="shared" si="625"/>
        <v>11755</v>
      </c>
      <c r="S992" s="360">
        <f t="shared" si="625"/>
        <v>0</v>
      </c>
      <c r="T992" s="360"/>
      <c r="U992" s="360"/>
      <c r="V992" s="200">
        <f>V993</f>
        <v>7600</v>
      </c>
      <c r="W992" s="200">
        <f t="shared" si="625"/>
        <v>7600</v>
      </c>
      <c r="X992" s="359">
        <f t="shared" si="625"/>
        <v>9000</v>
      </c>
      <c r="Y992" s="371">
        <f t="shared" si="625"/>
        <v>9500.1</v>
      </c>
      <c r="Z992" s="371">
        <f t="shared" si="625"/>
        <v>0</v>
      </c>
      <c r="AA992" s="370" t="e">
        <f t="shared" ca="1" si="587"/>
        <v>#NAME?</v>
      </c>
      <c r="AB992" s="371"/>
      <c r="AC992" s="372">
        <f>AC993</f>
        <v>8000</v>
      </c>
      <c r="AD992" s="372">
        <f>AD993</f>
        <v>8000</v>
      </c>
      <c r="AE992" s="178">
        <f>O992/M992*100</f>
        <v>237.97468354430382</v>
      </c>
      <c r="AF992" s="178">
        <f>P992/O992*100</f>
        <v>64.123404255319144</v>
      </c>
      <c r="AG992" s="178">
        <f>Q992/P992*100</f>
        <v>225</v>
      </c>
      <c r="AH992" s="178">
        <f>AC992/Q992*100</f>
        <v>44.444444444444443</v>
      </c>
      <c r="AI992" s="371"/>
      <c r="AJ992" s="371">
        <v>9500.1</v>
      </c>
      <c r="AK992" s="171">
        <f t="shared" si="617"/>
        <v>64.653339004678855</v>
      </c>
      <c r="AL992" s="171">
        <f t="shared" si="618"/>
        <v>118.42105263157893</v>
      </c>
      <c r="AM992" s="171">
        <f t="shared" si="618"/>
        <v>105.55666666666667</v>
      </c>
      <c r="AN992" s="360"/>
      <c r="AO992" s="193"/>
      <c r="AP992" s="193" t="e">
        <f t="shared" ca="1" si="624"/>
        <v>#NAME?</v>
      </c>
      <c r="AQ992" s="200">
        <f>AQ993</f>
        <v>7347.98</v>
      </c>
      <c r="AR992" s="204">
        <f t="shared" si="591"/>
        <v>64.653339004678855</v>
      </c>
      <c r="AS992" s="204">
        <f t="shared" si="592"/>
        <v>100</v>
      </c>
      <c r="AT992" s="204">
        <f t="shared" si="593"/>
        <v>64.653339004678855</v>
      </c>
      <c r="AU992" s="204">
        <f t="shared" si="594"/>
        <v>96.683947368421045</v>
      </c>
      <c r="AV992" s="204">
        <f t="shared" si="595"/>
        <v>62.509400255210544</v>
      </c>
    </row>
    <row r="993" spans="1:48" ht="12" customHeight="1">
      <c r="A993" s="53"/>
      <c r="B993" s="53"/>
      <c r="C993" s="53"/>
      <c r="D993" s="53"/>
      <c r="E993" s="53"/>
      <c r="F993" s="53"/>
      <c r="G993" s="53"/>
      <c r="H993" s="1">
        <v>33</v>
      </c>
      <c r="I993" s="397">
        <v>911</v>
      </c>
      <c r="J993" s="229">
        <v>3121</v>
      </c>
      <c r="K993" s="18" t="s">
        <v>229</v>
      </c>
      <c r="L993" s="130">
        <v>39500</v>
      </c>
      <c r="M993" s="130">
        <f>39500/7.5345</f>
        <v>5242.5509323777287</v>
      </c>
      <c r="N993" s="131">
        <v>94000</v>
      </c>
      <c r="O993" s="131">
        <f>N993/7.5345</f>
        <v>12475.943990974849</v>
      </c>
      <c r="P993" s="132">
        <v>8000</v>
      </c>
      <c r="Q993" s="163">
        <v>18000</v>
      </c>
      <c r="R993" s="159">
        <v>11755</v>
      </c>
      <c r="S993" s="165"/>
      <c r="T993" s="165"/>
      <c r="U993" s="165"/>
      <c r="V993" s="200">
        <v>7600</v>
      </c>
      <c r="W993" s="200">
        <v>7600</v>
      </c>
      <c r="X993" s="164">
        <v>9000</v>
      </c>
      <c r="Y993" s="378">
        <v>9500.1</v>
      </c>
      <c r="Z993" s="378"/>
      <c r="AA993" s="370" t="e">
        <f t="shared" ref="AA993:AA1056" ca="1" si="626">__xlfn.ISFORMULA(R993)</f>
        <v>#NAME?</v>
      </c>
      <c r="AB993" s="183"/>
      <c r="AC993" s="178">
        <v>8000</v>
      </c>
      <c r="AD993" s="178">
        <v>8000</v>
      </c>
      <c r="AE993" s="178">
        <f>O993/M993*100</f>
        <v>237.97468354430382</v>
      </c>
      <c r="AF993" s="178">
        <f>P993/O993*100</f>
        <v>64.123404255319144</v>
      </c>
      <c r="AG993" s="178">
        <f>Q993/P993*100</f>
        <v>225</v>
      </c>
      <c r="AH993" s="178">
        <f>AC993/Q993*100</f>
        <v>44.444444444444443</v>
      </c>
      <c r="AI993" s="183"/>
      <c r="AJ993" s="378">
        <v>9500.1</v>
      </c>
      <c r="AK993" s="171">
        <f t="shared" si="617"/>
        <v>64.653339004678855</v>
      </c>
      <c r="AL993" s="171">
        <f t="shared" si="618"/>
        <v>118.42105263157893</v>
      </c>
      <c r="AM993" s="171">
        <f t="shared" si="618"/>
        <v>105.55666666666667</v>
      </c>
      <c r="AN993" s="165"/>
      <c r="AO993" s="193"/>
      <c r="AP993" s="193" t="e">
        <f t="shared" ca="1" si="624"/>
        <v>#NAME?</v>
      </c>
      <c r="AQ993" s="200">
        <v>7347.98</v>
      </c>
      <c r="AR993" s="204">
        <f t="shared" si="591"/>
        <v>64.653339004678855</v>
      </c>
      <c r="AS993" s="204">
        <f t="shared" si="592"/>
        <v>100</v>
      </c>
      <c r="AT993" s="204">
        <f t="shared" si="593"/>
        <v>64.653339004678855</v>
      </c>
      <c r="AU993" s="204">
        <f t="shared" si="594"/>
        <v>96.683947368421045</v>
      </c>
      <c r="AV993" s="204">
        <f t="shared" si="595"/>
        <v>62.509400255210544</v>
      </c>
    </row>
    <row r="994" spans="1:48" ht="12" customHeight="1">
      <c r="A994" s="69"/>
      <c r="B994" s="69"/>
      <c r="C994" s="69"/>
      <c r="D994" s="69"/>
      <c r="E994" s="69"/>
      <c r="F994" s="69"/>
      <c r="G994" s="69"/>
      <c r="H994" s="436"/>
      <c r="I994" s="3"/>
      <c r="J994" s="7"/>
      <c r="K994" s="7"/>
      <c r="L994" s="85"/>
      <c r="M994" s="85"/>
      <c r="N994" s="86"/>
      <c r="O994" s="86"/>
      <c r="P994" s="87"/>
      <c r="Q994" s="87"/>
      <c r="R994" s="160"/>
      <c r="S994" s="161"/>
      <c r="T994" s="161"/>
      <c r="U994" s="161"/>
      <c r="V994" s="200"/>
      <c r="W994" s="200"/>
      <c r="X994" s="361"/>
      <c r="Y994" s="373"/>
      <c r="Z994" s="373"/>
      <c r="AA994" s="370" t="e">
        <f t="shared" ca="1" si="626"/>
        <v>#NAME?</v>
      </c>
      <c r="AB994" s="181"/>
      <c r="AC994" s="182"/>
      <c r="AD994" s="182"/>
      <c r="AE994" s="178"/>
      <c r="AF994" s="178"/>
      <c r="AG994" s="178"/>
      <c r="AH994" s="178"/>
      <c r="AI994" s="181"/>
      <c r="AJ994" s="373"/>
      <c r="AK994" s="171"/>
      <c r="AL994" s="171"/>
      <c r="AM994" s="171"/>
      <c r="AN994" s="161"/>
      <c r="AO994" s="193"/>
      <c r="AP994" s="193" t="e">
        <f t="shared" ca="1" si="624"/>
        <v>#NAME?</v>
      </c>
      <c r="AQ994" s="200"/>
      <c r="AR994" s="204"/>
      <c r="AS994" s="204"/>
      <c r="AT994" s="204"/>
      <c r="AU994" s="204"/>
      <c r="AV994" s="204"/>
    </row>
    <row r="995" spans="1:48" ht="12" customHeight="1">
      <c r="A995" s="62"/>
      <c r="B995" s="62"/>
      <c r="C995" s="62"/>
      <c r="D995" s="62"/>
      <c r="E995" s="62"/>
      <c r="F995" s="62"/>
      <c r="G995" s="62"/>
      <c r="H995" s="304"/>
      <c r="I995" s="464"/>
      <c r="J995" s="303">
        <v>313</v>
      </c>
      <c r="K995" s="19" t="s">
        <v>340</v>
      </c>
      <c r="L995" s="112">
        <f t="shared" ref="L995:S995" si="627">L997+L998</f>
        <v>352171</v>
      </c>
      <c r="M995" s="112">
        <f t="shared" si="627"/>
        <v>46741.124162187269</v>
      </c>
      <c r="N995" s="113">
        <f t="shared" si="627"/>
        <v>331977</v>
      </c>
      <c r="O995" s="113">
        <f t="shared" si="627"/>
        <v>44060.919769062311</v>
      </c>
      <c r="P995" s="114">
        <f t="shared" si="627"/>
        <v>50300</v>
      </c>
      <c r="Q995" s="114">
        <f t="shared" si="627"/>
        <v>55000</v>
      </c>
      <c r="R995" s="88">
        <f t="shared" si="627"/>
        <v>47603</v>
      </c>
      <c r="S995" s="90">
        <f t="shared" si="627"/>
        <v>0</v>
      </c>
      <c r="T995" s="90"/>
      <c r="U995" s="90"/>
      <c r="V995" s="200">
        <f>V997+V998</f>
        <v>80550</v>
      </c>
      <c r="W995" s="200">
        <f>W997+W998</f>
        <v>80550</v>
      </c>
      <c r="X995" s="88">
        <f>X997+X998</f>
        <v>98100</v>
      </c>
      <c r="Y995" s="171">
        <f>Y997+Y998</f>
        <v>98100</v>
      </c>
      <c r="Z995" s="171">
        <f>Z997+Z998</f>
        <v>0</v>
      </c>
      <c r="AA995" s="370" t="e">
        <f t="shared" ca="1" si="626"/>
        <v>#NAME?</v>
      </c>
      <c r="AB995" s="171"/>
      <c r="AC995" s="172">
        <f>AC997+AC998</f>
        <v>50300</v>
      </c>
      <c r="AD995" s="172">
        <f>AD997+AD998</f>
        <v>50300</v>
      </c>
      <c r="AE995" s="178">
        <f>O995/M995*100</f>
        <v>94.265853803975901</v>
      </c>
      <c r="AF995" s="178">
        <f>P995/O995*100</f>
        <v>114.16012253860961</v>
      </c>
      <c r="AG995" s="178">
        <f>Q995/P995*100</f>
        <v>109.34393638170974</v>
      </c>
      <c r="AH995" s="178">
        <f>AC995/Q995*100</f>
        <v>91.454545454545453</v>
      </c>
      <c r="AI995" s="171"/>
      <c r="AJ995" s="171">
        <v>98100</v>
      </c>
      <c r="AK995" s="171">
        <f t="shared" si="617"/>
        <v>169.2120244522404</v>
      </c>
      <c r="AL995" s="171">
        <f t="shared" si="618"/>
        <v>121.78770949720669</v>
      </c>
      <c r="AM995" s="171">
        <f t="shared" si="618"/>
        <v>100</v>
      </c>
      <c r="AN995" s="90"/>
      <c r="AO995" s="193"/>
      <c r="AP995" s="193" t="e">
        <f t="shared" ca="1" si="624"/>
        <v>#NAME?</v>
      </c>
      <c r="AQ995" s="200">
        <f>AQ997+AQ998</f>
        <v>71125.53</v>
      </c>
      <c r="AR995" s="204">
        <f t="shared" ref="AR995:AR1058" si="628">V995/R995*100</f>
        <v>169.2120244522404</v>
      </c>
      <c r="AS995" s="204">
        <f t="shared" ref="AS995:AS1058" si="629">W995/V995*100</f>
        <v>100</v>
      </c>
      <c r="AT995" s="204">
        <f t="shared" ref="AT995:AT1058" si="630">W995/R995*100</f>
        <v>169.2120244522404</v>
      </c>
      <c r="AU995" s="204">
        <f t="shared" ref="AU995:AU1058" si="631">AQ995/W995*100</f>
        <v>88.299851024208564</v>
      </c>
      <c r="AV995" s="204">
        <f t="shared" ref="AV995:AV1058" si="632">AQ995/R995*100</f>
        <v>149.41396550637563</v>
      </c>
    </row>
    <row r="996" spans="1:48" ht="12" customHeight="1">
      <c r="A996" s="42"/>
      <c r="B996" s="42"/>
      <c r="C996" s="42"/>
      <c r="D996" s="42"/>
      <c r="E996" s="42"/>
      <c r="F996" s="42"/>
      <c r="G996" s="42"/>
      <c r="H996" s="308"/>
      <c r="I996" s="14"/>
      <c r="J996" s="2"/>
      <c r="K996" s="84"/>
      <c r="L996" s="85">
        <v>1</v>
      </c>
      <c r="M996" s="85">
        <v>2</v>
      </c>
      <c r="N996" s="86">
        <v>3</v>
      </c>
      <c r="O996" s="86">
        <v>4</v>
      </c>
      <c r="P996" s="87">
        <v>5</v>
      </c>
      <c r="Q996" s="87">
        <v>6</v>
      </c>
      <c r="R996" s="160"/>
      <c r="S996" s="161"/>
      <c r="T996" s="161"/>
      <c r="U996" s="161"/>
      <c r="V996" s="200"/>
      <c r="W996" s="200"/>
      <c r="X996" s="361"/>
      <c r="Y996" s="373"/>
      <c r="Z996" s="373"/>
      <c r="AA996" s="370" t="e">
        <f t="shared" ca="1" si="626"/>
        <v>#NAME?</v>
      </c>
      <c r="AB996" s="181"/>
      <c r="AC996" s="182">
        <v>7</v>
      </c>
      <c r="AD996" s="182">
        <v>8</v>
      </c>
      <c r="AE996" s="182">
        <v>9</v>
      </c>
      <c r="AF996" s="182">
        <v>10</v>
      </c>
      <c r="AG996" s="182">
        <v>11</v>
      </c>
      <c r="AH996" s="182">
        <v>12</v>
      </c>
      <c r="AI996" s="181"/>
      <c r="AJ996" s="373"/>
      <c r="AK996" s="171"/>
      <c r="AL996" s="171"/>
      <c r="AM996" s="171"/>
      <c r="AN996" s="161"/>
      <c r="AO996" s="193"/>
      <c r="AP996" s="193" t="e">
        <f t="shared" ca="1" si="624"/>
        <v>#NAME?</v>
      </c>
      <c r="AQ996" s="200"/>
      <c r="AR996" s="204"/>
      <c r="AS996" s="204"/>
      <c r="AT996" s="204"/>
      <c r="AU996" s="204"/>
      <c r="AV996" s="204"/>
    </row>
    <row r="997" spans="1:48" ht="12" customHeight="1">
      <c r="A997" s="53"/>
      <c r="B997" s="53"/>
      <c r="C997" s="53"/>
      <c r="D997" s="53"/>
      <c r="E997" s="53"/>
      <c r="F997" s="53"/>
      <c r="G997" s="53"/>
      <c r="H997" s="1">
        <v>35</v>
      </c>
      <c r="I997" s="397">
        <v>911</v>
      </c>
      <c r="J997" s="229">
        <v>3132</v>
      </c>
      <c r="K997" s="18" t="s">
        <v>796</v>
      </c>
      <c r="L997" s="130">
        <v>336983</v>
      </c>
      <c r="M997" s="130">
        <f>336983/7.5345</f>
        <v>44725.330147985929</v>
      </c>
      <c r="N997" s="131">
        <v>317915</v>
      </c>
      <c r="O997" s="131">
        <f>N997/7.5345</f>
        <v>42194.571637135843</v>
      </c>
      <c r="P997" s="132">
        <v>48200</v>
      </c>
      <c r="Q997" s="163">
        <v>53400</v>
      </c>
      <c r="R997" s="159">
        <v>46156</v>
      </c>
      <c r="S997" s="165"/>
      <c r="T997" s="165"/>
      <c r="U997" s="165"/>
      <c r="V997" s="200">
        <v>77550</v>
      </c>
      <c r="W997" s="200">
        <v>77550</v>
      </c>
      <c r="X997" s="164">
        <v>96000</v>
      </c>
      <c r="Y997" s="378">
        <v>96000</v>
      </c>
      <c r="Z997" s="378"/>
      <c r="AA997" s="370" t="e">
        <f t="shared" ca="1" si="626"/>
        <v>#NAME?</v>
      </c>
      <c r="AB997" s="183"/>
      <c r="AC997" s="178">
        <v>48200</v>
      </c>
      <c r="AD997" s="178">
        <v>48200</v>
      </c>
      <c r="AE997" s="178">
        <f>O997/M997*100</f>
        <v>94.341554321731365</v>
      </c>
      <c r="AF997" s="178">
        <f>P997/O997*100</f>
        <v>114.23270371011118</v>
      </c>
      <c r="AG997" s="178">
        <f>Q997/P997*100</f>
        <v>110.78838174273859</v>
      </c>
      <c r="AH997" s="178">
        <f>AC997/Q997*100</f>
        <v>90.262172284644194</v>
      </c>
      <c r="AI997" s="183"/>
      <c r="AJ997" s="378">
        <v>96000</v>
      </c>
      <c r="AK997" s="171">
        <f t="shared" si="617"/>
        <v>168.01715919923737</v>
      </c>
      <c r="AL997" s="171">
        <f t="shared" si="618"/>
        <v>123.79110251450678</v>
      </c>
      <c r="AM997" s="171">
        <f t="shared" si="618"/>
        <v>100</v>
      </c>
      <c r="AN997" s="165"/>
      <c r="AO997" s="193"/>
      <c r="AP997" s="193" t="e">
        <f t="shared" ca="1" si="624"/>
        <v>#NAME?</v>
      </c>
      <c r="AQ997" s="200">
        <v>69137.53</v>
      </c>
      <c r="AR997" s="204">
        <f t="shared" si="628"/>
        <v>168.01715919923737</v>
      </c>
      <c r="AS997" s="204">
        <f t="shared" si="629"/>
        <v>100</v>
      </c>
      <c r="AT997" s="204">
        <f t="shared" si="630"/>
        <v>168.01715919923737</v>
      </c>
      <c r="AU997" s="204">
        <f t="shared" si="631"/>
        <v>89.152198581560285</v>
      </c>
      <c r="AV997" s="204">
        <f t="shared" si="632"/>
        <v>149.79099142040039</v>
      </c>
    </row>
    <row r="998" spans="1:48" ht="12" customHeight="1">
      <c r="A998" s="53"/>
      <c r="B998" s="53"/>
      <c r="C998" s="53"/>
      <c r="D998" s="53"/>
      <c r="E998" s="53"/>
      <c r="F998" s="53"/>
      <c r="G998" s="53"/>
      <c r="H998" s="1">
        <v>36</v>
      </c>
      <c r="I998" s="397">
        <v>911</v>
      </c>
      <c r="J998" s="229">
        <v>3133</v>
      </c>
      <c r="K998" s="18" t="s">
        <v>797</v>
      </c>
      <c r="L998" s="130">
        <v>15188</v>
      </c>
      <c r="M998" s="130">
        <f>15188/7.5345</f>
        <v>2015.7940142013404</v>
      </c>
      <c r="N998" s="131">
        <v>14062</v>
      </c>
      <c r="O998" s="131">
        <f>N998/7.5345</f>
        <v>1866.3481319264715</v>
      </c>
      <c r="P998" s="132">
        <v>2100</v>
      </c>
      <c r="Q998" s="163">
        <v>1600</v>
      </c>
      <c r="R998" s="159">
        <v>1447</v>
      </c>
      <c r="S998" s="165"/>
      <c r="T998" s="165"/>
      <c r="U998" s="165"/>
      <c r="V998" s="200">
        <v>3000</v>
      </c>
      <c r="W998" s="200">
        <v>3000</v>
      </c>
      <c r="X998" s="164">
        <v>2100</v>
      </c>
      <c r="Y998" s="378">
        <v>2100</v>
      </c>
      <c r="Z998" s="378"/>
      <c r="AA998" s="370" t="e">
        <f t="shared" ca="1" si="626"/>
        <v>#NAME?</v>
      </c>
      <c r="AB998" s="183"/>
      <c r="AC998" s="178">
        <v>2100</v>
      </c>
      <c r="AD998" s="178">
        <v>2100</v>
      </c>
      <c r="AE998" s="178">
        <f>O998/M998*100</f>
        <v>92.586252304450895</v>
      </c>
      <c r="AF998" s="178">
        <f>P998/O998*100</f>
        <v>112.51920068269095</v>
      </c>
      <c r="AG998" s="178">
        <f>Q998/P998*100</f>
        <v>76.19047619047619</v>
      </c>
      <c r="AH998" s="178">
        <f>AC998/Q998*100</f>
        <v>131.25</v>
      </c>
      <c r="AI998" s="183"/>
      <c r="AJ998" s="378">
        <v>2100</v>
      </c>
      <c r="AK998" s="171">
        <f t="shared" si="617"/>
        <v>207.32550103662751</v>
      </c>
      <c r="AL998" s="171">
        <f t="shared" si="618"/>
        <v>70</v>
      </c>
      <c r="AM998" s="171">
        <f t="shared" si="618"/>
        <v>100</v>
      </c>
      <c r="AN998" s="165"/>
      <c r="AO998" s="193"/>
      <c r="AP998" s="193" t="e">
        <f t="shared" ca="1" si="624"/>
        <v>#NAME?</v>
      </c>
      <c r="AQ998" s="200">
        <v>1988</v>
      </c>
      <c r="AR998" s="204">
        <f t="shared" si="628"/>
        <v>207.32550103662751</v>
      </c>
      <c r="AS998" s="204">
        <f t="shared" si="629"/>
        <v>100</v>
      </c>
      <c r="AT998" s="204">
        <f t="shared" si="630"/>
        <v>207.32550103662751</v>
      </c>
      <c r="AU998" s="204">
        <f t="shared" si="631"/>
        <v>66.266666666666666</v>
      </c>
      <c r="AV998" s="204">
        <f t="shared" si="632"/>
        <v>137.38769868693851</v>
      </c>
    </row>
    <row r="999" spans="1:48" ht="12" customHeight="1">
      <c r="A999" s="42"/>
      <c r="B999" s="42"/>
      <c r="C999" s="42"/>
      <c r="D999" s="42"/>
      <c r="E999" s="42"/>
      <c r="F999" s="42"/>
      <c r="G999" s="42"/>
      <c r="H999" s="308"/>
      <c r="I999" s="14"/>
      <c r="J999" s="2"/>
      <c r="K999" s="281"/>
      <c r="L999" s="85"/>
      <c r="M999" s="85"/>
      <c r="N999" s="86"/>
      <c r="O999" s="86"/>
      <c r="P999" s="87"/>
      <c r="Q999" s="87"/>
      <c r="R999" s="160"/>
      <c r="S999" s="161"/>
      <c r="T999" s="161"/>
      <c r="U999" s="161"/>
      <c r="V999" s="200"/>
      <c r="W999" s="200"/>
      <c r="X999" s="361"/>
      <c r="Y999" s="373"/>
      <c r="Z999" s="373"/>
      <c r="AA999" s="370" t="e">
        <f t="shared" ca="1" si="626"/>
        <v>#NAME?</v>
      </c>
      <c r="AB999" s="181"/>
      <c r="AC999" s="182"/>
      <c r="AD999" s="182"/>
      <c r="AE999" s="178"/>
      <c r="AF999" s="178"/>
      <c r="AG999" s="178"/>
      <c r="AH999" s="178"/>
      <c r="AI999" s="181"/>
      <c r="AJ999" s="373"/>
      <c r="AK999" s="171"/>
      <c r="AL999" s="171"/>
      <c r="AM999" s="171"/>
      <c r="AN999" s="161"/>
      <c r="AO999" s="193"/>
      <c r="AP999" s="193" t="e">
        <f t="shared" ca="1" si="624"/>
        <v>#NAME?</v>
      </c>
      <c r="AQ999" s="200"/>
      <c r="AR999" s="204"/>
      <c r="AS999" s="204"/>
      <c r="AT999" s="204"/>
      <c r="AU999" s="204"/>
      <c r="AV999" s="204"/>
    </row>
    <row r="1000" spans="1:48" ht="12" customHeight="1">
      <c r="A1000" s="301"/>
      <c r="B1000" s="301"/>
      <c r="C1000" s="301"/>
      <c r="D1000" s="301"/>
      <c r="E1000" s="301"/>
      <c r="F1000" s="301"/>
      <c r="G1000" s="301"/>
      <c r="H1000" s="307"/>
      <c r="I1000" s="350"/>
      <c r="J1000" s="302">
        <v>32</v>
      </c>
      <c r="K1000" s="343" t="s">
        <v>233</v>
      </c>
      <c r="L1000" s="112">
        <f t="shared" ref="L1000:Z1000" si="633">L1001</f>
        <v>128788</v>
      </c>
      <c r="M1000" s="112">
        <f t="shared" si="633"/>
        <v>17093.105050102859</v>
      </c>
      <c r="N1000" s="113">
        <f t="shared" si="633"/>
        <v>179740</v>
      </c>
      <c r="O1000" s="113">
        <f t="shared" si="633"/>
        <v>23855.597584444888</v>
      </c>
      <c r="P1000" s="114">
        <f t="shared" si="633"/>
        <v>29900</v>
      </c>
      <c r="Q1000" s="114">
        <f t="shared" si="633"/>
        <v>33300</v>
      </c>
      <c r="R1000" s="88">
        <f t="shared" si="633"/>
        <v>31083</v>
      </c>
      <c r="S1000" s="90">
        <f t="shared" si="633"/>
        <v>0</v>
      </c>
      <c r="T1000" s="90"/>
      <c r="U1000" s="90"/>
      <c r="V1000" s="200">
        <f>V1001</f>
        <v>35900</v>
      </c>
      <c r="W1000" s="200">
        <f t="shared" si="633"/>
        <v>35900</v>
      </c>
      <c r="X1000" s="88">
        <f t="shared" si="633"/>
        <v>48400</v>
      </c>
      <c r="Y1000" s="171">
        <f t="shared" si="633"/>
        <v>49900.5</v>
      </c>
      <c r="Z1000" s="171">
        <f t="shared" si="633"/>
        <v>0</v>
      </c>
      <c r="AA1000" s="370" t="e">
        <f t="shared" ca="1" si="626"/>
        <v>#NAME?</v>
      </c>
      <c r="AB1000" s="171"/>
      <c r="AC1000" s="172">
        <f>AC1001</f>
        <v>30000</v>
      </c>
      <c r="AD1000" s="172">
        <f>AD1001</f>
        <v>30000</v>
      </c>
      <c r="AE1000" s="178">
        <f>O1000/M1000*100</f>
        <v>139.56269217628974</v>
      </c>
      <c r="AF1000" s="178">
        <f t="shared" ref="AF1000:AG1004" si="634">P1000/O1000*100</f>
        <v>125.33745966395904</v>
      </c>
      <c r="AG1000" s="178">
        <f t="shared" si="634"/>
        <v>111.37123745819397</v>
      </c>
      <c r="AH1000" s="178">
        <f>AC1000/Q1000*100</f>
        <v>90.090090090090087</v>
      </c>
      <c r="AI1000" s="171"/>
      <c r="AJ1000" s="171">
        <v>49900.5</v>
      </c>
      <c r="AK1000" s="171">
        <f t="shared" si="617"/>
        <v>115.4972171283338</v>
      </c>
      <c r="AL1000" s="171">
        <f t="shared" si="618"/>
        <v>134.81894150417827</v>
      </c>
      <c r="AM1000" s="171">
        <f t="shared" si="618"/>
        <v>103.10020661157024</v>
      </c>
      <c r="AN1000" s="90"/>
      <c r="AO1000" s="193"/>
      <c r="AP1000" s="193" t="e">
        <f t="shared" ca="1" si="624"/>
        <v>#NAME?</v>
      </c>
      <c r="AQ1000" s="200">
        <f>AQ1001</f>
        <v>32477.37</v>
      </c>
      <c r="AR1000" s="204">
        <f t="shared" si="628"/>
        <v>115.4972171283338</v>
      </c>
      <c r="AS1000" s="204">
        <f t="shared" si="629"/>
        <v>100</v>
      </c>
      <c r="AT1000" s="204">
        <f t="shared" si="630"/>
        <v>115.4972171283338</v>
      </c>
      <c r="AU1000" s="204">
        <f t="shared" si="631"/>
        <v>90.466211699164347</v>
      </c>
      <c r="AV1000" s="204">
        <f t="shared" si="632"/>
        <v>104.48595695396196</v>
      </c>
    </row>
    <row r="1001" spans="1:48" ht="12" customHeight="1">
      <c r="A1001" s="62"/>
      <c r="B1001" s="62"/>
      <c r="C1001" s="62"/>
      <c r="D1001" s="62"/>
      <c r="E1001" s="62"/>
      <c r="F1001" s="62"/>
      <c r="G1001" s="62"/>
      <c r="H1001" s="304"/>
      <c r="I1001" s="464"/>
      <c r="J1001" s="303">
        <v>321</v>
      </c>
      <c r="K1001" s="19" t="s">
        <v>798</v>
      </c>
      <c r="L1001" s="112">
        <f t="shared" ref="L1001:S1001" si="635">L1002+L1003+L1004+L1005</f>
        <v>128788</v>
      </c>
      <c r="M1001" s="112">
        <f t="shared" si="635"/>
        <v>17093.105050102859</v>
      </c>
      <c r="N1001" s="113">
        <f t="shared" si="635"/>
        <v>179740</v>
      </c>
      <c r="O1001" s="113">
        <f t="shared" si="635"/>
        <v>23855.597584444888</v>
      </c>
      <c r="P1001" s="114">
        <f t="shared" si="635"/>
        <v>29900</v>
      </c>
      <c r="Q1001" s="114">
        <f t="shared" si="635"/>
        <v>33300</v>
      </c>
      <c r="R1001" s="88">
        <f t="shared" si="635"/>
        <v>31083</v>
      </c>
      <c r="S1001" s="90">
        <f t="shared" si="635"/>
        <v>0</v>
      </c>
      <c r="T1001" s="90"/>
      <c r="U1001" s="90"/>
      <c r="V1001" s="200">
        <f>V1002+V1003+V1004+V1005</f>
        <v>35900</v>
      </c>
      <c r="W1001" s="200">
        <f>W1002+W1003+W1004+W1005</f>
        <v>35900</v>
      </c>
      <c r="X1001" s="88">
        <f>X1002+X1003+X1004+X1005</f>
        <v>48400</v>
      </c>
      <c r="Y1001" s="171">
        <f>Y1002+Y1003+Y1004+Y1005</f>
        <v>49900.5</v>
      </c>
      <c r="Z1001" s="171">
        <f>Z1002+Z1003+Z1004+Z1005</f>
        <v>0</v>
      </c>
      <c r="AA1001" s="370" t="e">
        <f t="shared" ca="1" si="626"/>
        <v>#NAME?</v>
      </c>
      <c r="AB1001" s="171"/>
      <c r="AC1001" s="172">
        <f>AC1002+AC1003+AC1004+AC1005</f>
        <v>30000</v>
      </c>
      <c r="AD1001" s="172">
        <f>AD1002+AD1003+AD1004+AD1005</f>
        <v>30000</v>
      </c>
      <c r="AE1001" s="178">
        <f>O1001/M1001*100</f>
        <v>139.56269217628974</v>
      </c>
      <c r="AF1001" s="178">
        <f t="shared" si="634"/>
        <v>125.33745966395904</v>
      </c>
      <c r="AG1001" s="178">
        <f t="shared" si="634"/>
        <v>111.37123745819397</v>
      </c>
      <c r="AH1001" s="178">
        <f>AC1001/Q1001*100</f>
        <v>90.090090090090087</v>
      </c>
      <c r="AI1001" s="171"/>
      <c r="AJ1001" s="171">
        <v>49900.5</v>
      </c>
      <c r="AK1001" s="171">
        <f t="shared" si="617"/>
        <v>115.4972171283338</v>
      </c>
      <c r="AL1001" s="171">
        <f t="shared" si="618"/>
        <v>134.81894150417827</v>
      </c>
      <c r="AM1001" s="171">
        <f t="shared" si="618"/>
        <v>103.10020661157024</v>
      </c>
      <c r="AN1001" s="90"/>
      <c r="AO1001" s="193"/>
      <c r="AP1001" s="193" t="e">
        <f t="shared" ca="1" si="624"/>
        <v>#NAME?</v>
      </c>
      <c r="AQ1001" s="200">
        <f>AQ1002+AQ1003+AQ1004+AQ1005</f>
        <v>32477.37</v>
      </c>
      <c r="AR1001" s="204">
        <f t="shared" si="628"/>
        <v>115.4972171283338</v>
      </c>
      <c r="AS1001" s="204">
        <f t="shared" si="629"/>
        <v>100</v>
      </c>
      <c r="AT1001" s="204">
        <f t="shared" si="630"/>
        <v>115.4972171283338</v>
      </c>
      <c r="AU1001" s="204">
        <f t="shared" si="631"/>
        <v>90.466211699164347</v>
      </c>
      <c r="AV1001" s="204">
        <f t="shared" si="632"/>
        <v>104.48595695396196</v>
      </c>
    </row>
    <row r="1002" spans="1:48" ht="12" customHeight="1">
      <c r="A1002" s="209"/>
      <c r="B1002" s="209"/>
      <c r="C1002" s="209"/>
      <c r="D1002" s="209"/>
      <c r="E1002" s="209"/>
      <c r="F1002" s="209"/>
      <c r="G1002" s="209"/>
      <c r="H1002" s="531"/>
      <c r="I1002" s="397">
        <v>911</v>
      </c>
      <c r="J1002" s="229">
        <v>3211</v>
      </c>
      <c r="K1002" s="278" t="s">
        <v>235</v>
      </c>
      <c r="L1002" s="137">
        <v>1480</v>
      </c>
      <c r="M1002" s="137">
        <f>1480/7.5345</f>
        <v>196.42975645364655</v>
      </c>
      <c r="N1002" s="138">
        <v>4310</v>
      </c>
      <c r="O1002" s="138">
        <f>N1002/7.5345</f>
        <v>572.03530426703821</v>
      </c>
      <c r="P1002" s="139">
        <v>3300</v>
      </c>
      <c r="Q1002" s="139">
        <v>3300</v>
      </c>
      <c r="R1002" s="137">
        <v>2547</v>
      </c>
      <c r="S1002" s="139"/>
      <c r="T1002" s="139"/>
      <c r="U1002" s="139"/>
      <c r="V1002" s="200">
        <v>3500</v>
      </c>
      <c r="W1002" s="200">
        <v>3500</v>
      </c>
      <c r="X1002" s="166">
        <v>5000</v>
      </c>
      <c r="Y1002" s="425">
        <v>5000</v>
      </c>
      <c r="Z1002" s="425"/>
      <c r="AA1002" s="370" t="e">
        <f t="shared" ca="1" si="626"/>
        <v>#NAME?</v>
      </c>
      <c r="AB1002" s="184"/>
      <c r="AC1002" s="185">
        <v>3300</v>
      </c>
      <c r="AD1002" s="185">
        <v>3300</v>
      </c>
      <c r="AE1002" s="178"/>
      <c r="AF1002" s="178">
        <f t="shared" si="634"/>
        <v>576.88747099767988</v>
      </c>
      <c r="AG1002" s="178">
        <f t="shared" si="634"/>
        <v>100</v>
      </c>
      <c r="AH1002" s="178">
        <f>AC1002/Q1002*100</f>
        <v>100</v>
      </c>
      <c r="AI1002" s="184"/>
      <c r="AJ1002" s="425">
        <v>5000</v>
      </c>
      <c r="AK1002" s="171">
        <f t="shared" si="617"/>
        <v>137.41656851197487</v>
      </c>
      <c r="AL1002" s="171">
        <f t="shared" si="618"/>
        <v>142.85714285714286</v>
      </c>
      <c r="AM1002" s="171">
        <f t="shared" si="618"/>
        <v>100</v>
      </c>
      <c r="AN1002" s="139"/>
      <c r="AO1002" s="193"/>
      <c r="AP1002" s="193" t="e">
        <f t="shared" ca="1" si="624"/>
        <v>#NAME?</v>
      </c>
      <c r="AQ1002" s="200">
        <v>2532.94</v>
      </c>
      <c r="AR1002" s="204">
        <f t="shared" si="628"/>
        <v>137.41656851197487</v>
      </c>
      <c r="AS1002" s="204">
        <f t="shared" si="629"/>
        <v>100</v>
      </c>
      <c r="AT1002" s="204">
        <f t="shared" si="630"/>
        <v>137.41656851197487</v>
      </c>
      <c r="AU1002" s="204">
        <f t="shared" si="631"/>
        <v>72.369714285714295</v>
      </c>
      <c r="AV1002" s="204">
        <f t="shared" si="632"/>
        <v>99.447978013349029</v>
      </c>
    </row>
    <row r="1003" spans="1:48" ht="12" customHeight="1">
      <c r="A1003" s="53"/>
      <c r="B1003" s="53"/>
      <c r="C1003" s="53"/>
      <c r="D1003" s="53"/>
      <c r="E1003" s="53"/>
      <c r="F1003" s="53"/>
      <c r="G1003" s="53"/>
      <c r="H1003" s="1">
        <v>37</v>
      </c>
      <c r="I1003" s="397">
        <v>911</v>
      </c>
      <c r="J1003" s="229">
        <v>3212</v>
      </c>
      <c r="K1003" s="18" t="s">
        <v>347</v>
      </c>
      <c r="L1003" s="130">
        <v>120944</v>
      </c>
      <c r="M1003" s="130">
        <f>120944/7.5345</f>
        <v>16052.027340898532</v>
      </c>
      <c r="N1003" s="131">
        <v>163101</v>
      </c>
      <c r="O1003" s="138">
        <f>N1003/7.5345</f>
        <v>21647.222775233924</v>
      </c>
      <c r="P1003" s="132">
        <v>23900</v>
      </c>
      <c r="Q1003" s="163">
        <v>26600</v>
      </c>
      <c r="R1003" s="159">
        <v>25400</v>
      </c>
      <c r="S1003" s="165"/>
      <c r="T1003" s="165"/>
      <c r="U1003" s="165"/>
      <c r="V1003" s="200">
        <v>27900</v>
      </c>
      <c r="W1003" s="200">
        <v>27900</v>
      </c>
      <c r="X1003" s="164">
        <v>37900</v>
      </c>
      <c r="Y1003" s="378">
        <v>39000.199999999997</v>
      </c>
      <c r="Z1003" s="378"/>
      <c r="AA1003" s="370" t="e">
        <f t="shared" ca="1" si="626"/>
        <v>#NAME?</v>
      </c>
      <c r="AB1003" s="183"/>
      <c r="AC1003" s="178">
        <v>24000</v>
      </c>
      <c r="AD1003" s="178">
        <v>24000</v>
      </c>
      <c r="AE1003" s="178">
        <f>O1003/M1003*100</f>
        <v>134.85662786082818</v>
      </c>
      <c r="AF1003" s="178">
        <f t="shared" si="634"/>
        <v>110.40677249066529</v>
      </c>
      <c r="AG1003" s="178">
        <f t="shared" si="634"/>
        <v>111.29707112970711</v>
      </c>
      <c r="AH1003" s="178">
        <f>AC1003/Q1003*100</f>
        <v>90.225563909774436</v>
      </c>
      <c r="AI1003" s="183"/>
      <c r="AJ1003" s="378">
        <v>39000.199999999997</v>
      </c>
      <c r="AK1003" s="171">
        <f t="shared" si="617"/>
        <v>109.84251968503938</v>
      </c>
      <c r="AL1003" s="171">
        <f t="shared" si="618"/>
        <v>135.84229390681003</v>
      </c>
      <c r="AM1003" s="171">
        <f t="shared" si="618"/>
        <v>102.90290237467016</v>
      </c>
      <c r="AN1003" s="165"/>
      <c r="AO1003" s="193"/>
      <c r="AP1003" s="193" t="e">
        <f t="shared" ca="1" si="624"/>
        <v>#NAME?</v>
      </c>
      <c r="AQ1003" s="200">
        <v>25181.93</v>
      </c>
      <c r="AR1003" s="204">
        <f t="shared" si="628"/>
        <v>109.84251968503938</v>
      </c>
      <c r="AS1003" s="204">
        <f t="shared" si="629"/>
        <v>100</v>
      </c>
      <c r="AT1003" s="204">
        <f t="shared" si="630"/>
        <v>109.84251968503938</v>
      </c>
      <c r="AU1003" s="204">
        <f t="shared" si="631"/>
        <v>90.257813620071687</v>
      </c>
      <c r="AV1003" s="204">
        <f t="shared" si="632"/>
        <v>99.141456692913394</v>
      </c>
    </row>
    <row r="1004" spans="1:48" ht="12" customHeight="1">
      <c r="A1004" s="53"/>
      <c r="B1004" s="53"/>
      <c r="C1004" s="53"/>
      <c r="D1004" s="53"/>
      <c r="E1004" s="53"/>
      <c r="F1004" s="53"/>
      <c r="G1004" s="53"/>
      <c r="H1004" s="1" t="s">
        <v>799</v>
      </c>
      <c r="I1004" s="397">
        <v>911</v>
      </c>
      <c r="J1004" s="229">
        <v>3213</v>
      </c>
      <c r="K1004" s="18" t="s">
        <v>237</v>
      </c>
      <c r="L1004" s="130">
        <v>6364</v>
      </c>
      <c r="M1004" s="130">
        <f>6364/7.5345</f>
        <v>844.64795275068013</v>
      </c>
      <c r="N1004" s="131">
        <v>11775</v>
      </c>
      <c r="O1004" s="138">
        <f>N1004/7.5345</f>
        <v>1562.8110690822216</v>
      </c>
      <c r="P1004" s="132">
        <v>2700</v>
      </c>
      <c r="Q1004" s="163">
        <v>3400</v>
      </c>
      <c r="R1004" s="159">
        <v>2848</v>
      </c>
      <c r="S1004" s="165"/>
      <c r="T1004" s="165"/>
      <c r="U1004" s="165"/>
      <c r="V1004" s="200">
        <v>4500</v>
      </c>
      <c r="W1004" s="200">
        <v>4500</v>
      </c>
      <c r="X1004" s="164">
        <v>5500</v>
      </c>
      <c r="Y1004" s="378">
        <v>5900.3</v>
      </c>
      <c r="Z1004" s="378"/>
      <c r="AA1004" s="370" t="e">
        <f t="shared" ca="1" si="626"/>
        <v>#NAME?</v>
      </c>
      <c r="AB1004" s="183"/>
      <c r="AC1004" s="178">
        <v>2700</v>
      </c>
      <c r="AD1004" s="178">
        <v>2700</v>
      </c>
      <c r="AE1004" s="178">
        <f>O1004/M1004*100</f>
        <v>185.02514142049026</v>
      </c>
      <c r="AF1004" s="178">
        <f t="shared" si="634"/>
        <v>172.76560509554142</v>
      </c>
      <c r="AG1004" s="178">
        <f t="shared" si="634"/>
        <v>125.92592592592592</v>
      </c>
      <c r="AH1004" s="178">
        <f>AC1004/Q1004*100</f>
        <v>79.411764705882348</v>
      </c>
      <c r="AI1004" s="183"/>
      <c r="AJ1004" s="378">
        <v>5900.3</v>
      </c>
      <c r="AK1004" s="171">
        <f t="shared" si="617"/>
        <v>158.00561797752809</v>
      </c>
      <c r="AL1004" s="171">
        <f t="shared" si="618"/>
        <v>122.22222222222223</v>
      </c>
      <c r="AM1004" s="171">
        <f t="shared" si="618"/>
        <v>107.27818181818182</v>
      </c>
      <c r="AN1004" s="165"/>
      <c r="AO1004" s="193"/>
      <c r="AP1004" s="193" t="e">
        <f t="shared" ca="1" si="624"/>
        <v>#NAME?</v>
      </c>
      <c r="AQ1004" s="200">
        <v>3985</v>
      </c>
      <c r="AR1004" s="204">
        <f t="shared" si="628"/>
        <v>158.00561797752809</v>
      </c>
      <c r="AS1004" s="204">
        <f t="shared" si="629"/>
        <v>100</v>
      </c>
      <c r="AT1004" s="204">
        <f t="shared" si="630"/>
        <v>158.00561797752809</v>
      </c>
      <c r="AU1004" s="204">
        <f t="shared" si="631"/>
        <v>88.555555555555557</v>
      </c>
      <c r="AV1004" s="204">
        <f t="shared" si="632"/>
        <v>139.92275280898875</v>
      </c>
    </row>
    <row r="1005" spans="1:48" ht="12" customHeight="1">
      <c r="A1005" s="53"/>
      <c r="B1005" s="53"/>
      <c r="C1005" s="53"/>
      <c r="D1005" s="53"/>
      <c r="E1005" s="53"/>
      <c r="F1005" s="53"/>
      <c r="G1005" s="53"/>
      <c r="H1005" s="1"/>
      <c r="I1005" s="397"/>
      <c r="J1005" s="229">
        <v>3214</v>
      </c>
      <c r="K1005" s="18" t="s">
        <v>238</v>
      </c>
      <c r="L1005" s="130"/>
      <c r="M1005" s="130"/>
      <c r="N1005" s="131">
        <v>554</v>
      </c>
      <c r="O1005" s="138">
        <f>N1005/7.5345</f>
        <v>73.528435861702832</v>
      </c>
      <c r="P1005" s="132"/>
      <c r="Q1005" s="132"/>
      <c r="R1005" s="159">
        <v>288</v>
      </c>
      <c r="S1005" s="165"/>
      <c r="T1005" s="165"/>
      <c r="U1005" s="165"/>
      <c r="V1005" s="200"/>
      <c r="W1005" s="200"/>
      <c r="X1005" s="164"/>
      <c r="Y1005" s="378"/>
      <c r="Z1005" s="378"/>
      <c r="AA1005" s="370" t="e">
        <f t="shared" ca="1" si="626"/>
        <v>#NAME?</v>
      </c>
      <c r="AB1005" s="183"/>
      <c r="AC1005" s="178"/>
      <c r="AD1005" s="178"/>
      <c r="AE1005" s="178"/>
      <c r="AF1005" s="178"/>
      <c r="AG1005" s="178"/>
      <c r="AH1005" s="178"/>
      <c r="AI1005" s="183"/>
      <c r="AJ1005" s="378"/>
      <c r="AK1005" s="171">
        <f t="shared" si="617"/>
        <v>0</v>
      </c>
      <c r="AL1005" s="171"/>
      <c r="AM1005" s="171"/>
      <c r="AN1005" s="165"/>
      <c r="AO1005" s="193"/>
      <c r="AP1005" s="193" t="e">
        <f t="shared" ca="1" si="624"/>
        <v>#NAME?</v>
      </c>
      <c r="AQ1005" s="200">
        <v>777.5</v>
      </c>
      <c r="AR1005" s="204">
        <f t="shared" si="628"/>
        <v>0</v>
      </c>
      <c r="AS1005" s="204"/>
      <c r="AT1005" s="204">
        <f t="shared" si="630"/>
        <v>0</v>
      </c>
      <c r="AU1005" s="204"/>
      <c r="AV1005" s="204">
        <f t="shared" si="632"/>
        <v>269.96527777777777</v>
      </c>
    </row>
    <row r="1006" spans="1:48" ht="12" customHeight="1">
      <c r="A1006" s="53"/>
      <c r="B1006" s="53"/>
      <c r="C1006" s="53"/>
      <c r="D1006" s="53"/>
      <c r="E1006" s="53"/>
      <c r="F1006" s="53"/>
      <c r="G1006" s="53"/>
      <c r="H1006" s="1"/>
      <c r="I1006" s="397"/>
      <c r="J1006" s="229"/>
      <c r="K1006" s="18"/>
      <c r="L1006" s="130"/>
      <c r="M1006" s="130"/>
      <c r="N1006" s="131"/>
      <c r="O1006" s="131"/>
      <c r="P1006" s="132"/>
      <c r="Q1006" s="132"/>
      <c r="R1006" s="159"/>
      <c r="S1006" s="165"/>
      <c r="T1006" s="165"/>
      <c r="U1006" s="165"/>
      <c r="V1006" s="200"/>
      <c r="W1006" s="200"/>
      <c r="X1006" s="164"/>
      <c r="Y1006" s="378"/>
      <c r="Z1006" s="378"/>
      <c r="AA1006" s="370" t="e">
        <f t="shared" ca="1" si="626"/>
        <v>#NAME?</v>
      </c>
      <c r="AB1006" s="183"/>
      <c r="AC1006" s="178"/>
      <c r="AD1006" s="178"/>
      <c r="AE1006" s="178"/>
      <c r="AF1006" s="178"/>
      <c r="AG1006" s="178"/>
      <c r="AH1006" s="178"/>
      <c r="AI1006" s="183"/>
      <c r="AJ1006" s="378"/>
      <c r="AK1006" s="171"/>
      <c r="AL1006" s="171"/>
      <c r="AM1006" s="171"/>
      <c r="AN1006" s="165"/>
      <c r="AO1006" s="193"/>
      <c r="AP1006" s="193" t="e">
        <f t="shared" ca="1" si="624"/>
        <v>#NAME?</v>
      </c>
      <c r="AQ1006" s="200"/>
      <c r="AR1006" s="204"/>
      <c r="AS1006" s="204"/>
      <c r="AT1006" s="204"/>
      <c r="AU1006" s="204"/>
      <c r="AV1006" s="204"/>
    </row>
    <row r="1007" spans="1:48" ht="12" customHeight="1">
      <c r="A1007" s="390" t="s">
        <v>366</v>
      </c>
      <c r="B1007" s="391"/>
      <c r="C1007" s="391"/>
      <c r="D1007" s="391"/>
      <c r="E1007" s="391"/>
      <c r="F1007" s="391"/>
      <c r="G1007" s="391"/>
      <c r="H1007" s="392"/>
      <c r="I1007" s="485" t="s">
        <v>800</v>
      </c>
      <c r="J1007" s="486"/>
      <c r="K1007" s="300"/>
      <c r="L1007" s="112">
        <f t="shared" ref="L1007:S1007" si="636">L1009</f>
        <v>583334</v>
      </c>
      <c r="M1007" s="112">
        <f t="shared" si="636"/>
        <v>77421.726723737462</v>
      </c>
      <c r="N1007" s="113">
        <f t="shared" si="636"/>
        <v>798518</v>
      </c>
      <c r="O1007" s="113">
        <f t="shared" si="636"/>
        <v>105981.55152963036</v>
      </c>
      <c r="P1007" s="114">
        <f t="shared" si="636"/>
        <v>111500</v>
      </c>
      <c r="Q1007" s="114">
        <f t="shared" si="636"/>
        <v>102600</v>
      </c>
      <c r="R1007" s="88">
        <f t="shared" si="636"/>
        <v>100837</v>
      </c>
      <c r="S1007" s="90">
        <f t="shared" si="636"/>
        <v>0</v>
      </c>
      <c r="T1007" s="90"/>
      <c r="U1007" s="90"/>
      <c r="V1007" s="200">
        <f>V1009</f>
        <v>130639.93</v>
      </c>
      <c r="W1007" s="200">
        <f>W1009</f>
        <v>130639.93</v>
      </c>
      <c r="X1007" s="88">
        <f>X1009</f>
        <v>127840</v>
      </c>
      <c r="Y1007" s="171">
        <f>Y1009</f>
        <v>132851.4</v>
      </c>
      <c r="Z1007" s="171">
        <f>Z1009</f>
        <v>0</v>
      </c>
      <c r="AA1007" s="370" t="e">
        <f t="shared" ca="1" si="626"/>
        <v>#NAME?</v>
      </c>
      <c r="AB1007" s="171"/>
      <c r="AC1007" s="172">
        <f>AC1009</f>
        <v>113600</v>
      </c>
      <c r="AD1007" s="172">
        <f>AD1009</f>
        <v>113600</v>
      </c>
      <c r="AE1007" s="178">
        <f>O1007/M1007*100</f>
        <v>136.88864355583596</v>
      </c>
      <c r="AF1007" s="178">
        <f>P1007/O1007*100</f>
        <v>105.20698969841631</v>
      </c>
      <c r="AG1007" s="178">
        <f>Q1007/P1007*100</f>
        <v>92.017937219730939</v>
      </c>
      <c r="AH1007" s="178">
        <f>AC1007/Q1007*100</f>
        <v>110.72124756335282</v>
      </c>
      <c r="AI1007" s="171"/>
      <c r="AJ1007" s="171">
        <v>132851.4</v>
      </c>
      <c r="AK1007" s="171">
        <f t="shared" si="617"/>
        <v>129.55555004611401</v>
      </c>
      <c r="AL1007" s="171">
        <f t="shared" si="618"/>
        <v>97.856757884055824</v>
      </c>
      <c r="AM1007" s="171">
        <f t="shared" si="618"/>
        <v>103.92005632040049</v>
      </c>
      <c r="AN1007" s="90"/>
      <c r="AO1007" s="193"/>
      <c r="AP1007" s="193" t="e">
        <f t="shared" ca="1" si="624"/>
        <v>#NAME?</v>
      </c>
      <c r="AQ1007" s="200">
        <f>AQ1009</f>
        <v>128379.92000000001</v>
      </c>
      <c r="AR1007" s="204">
        <f t="shared" si="628"/>
        <v>129.55555004611401</v>
      </c>
      <c r="AS1007" s="204">
        <f t="shared" si="629"/>
        <v>100</v>
      </c>
      <c r="AT1007" s="204">
        <f t="shared" si="630"/>
        <v>129.55555004611401</v>
      </c>
      <c r="AU1007" s="204">
        <f t="shared" si="631"/>
        <v>98.270046531715096</v>
      </c>
      <c r="AV1007" s="204">
        <f t="shared" si="632"/>
        <v>127.31429931473568</v>
      </c>
    </row>
    <row r="1008" spans="1:48" ht="12" customHeight="1">
      <c r="A1008" s="53"/>
      <c r="B1008" s="53"/>
      <c r="C1008" s="53"/>
      <c r="D1008" s="53"/>
      <c r="E1008" s="53"/>
      <c r="F1008" s="53"/>
      <c r="G1008" s="53"/>
      <c r="H1008" s="1"/>
      <c r="I1008" s="397"/>
      <c r="J1008" s="229"/>
      <c r="K1008" s="18"/>
      <c r="L1008" s="466"/>
      <c r="M1008" s="466"/>
      <c r="N1008" s="467"/>
      <c r="O1008" s="467"/>
      <c r="P1008" s="468"/>
      <c r="Q1008" s="468"/>
      <c r="R1008" s="282"/>
      <c r="S1008" s="222"/>
      <c r="T1008" s="222"/>
      <c r="U1008" s="222"/>
      <c r="V1008" s="200"/>
      <c r="W1008" s="200"/>
      <c r="X1008" s="167"/>
      <c r="Y1008" s="424"/>
      <c r="Z1008" s="424"/>
      <c r="AA1008" s="370" t="e">
        <f t="shared" ca="1" si="626"/>
        <v>#NAME?</v>
      </c>
      <c r="AB1008" s="223"/>
      <c r="AC1008" s="224"/>
      <c r="AD1008" s="224"/>
      <c r="AE1008" s="178"/>
      <c r="AF1008" s="178"/>
      <c r="AG1008" s="178"/>
      <c r="AH1008" s="178"/>
      <c r="AI1008" s="223"/>
      <c r="AJ1008" s="424"/>
      <c r="AK1008" s="171"/>
      <c r="AL1008" s="171"/>
      <c r="AM1008" s="171"/>
      <c r="AN1008" s="222"/>
      <c r="AO1008" s="193"/>
      <c r="AP1008" s="193" t="e">
        <f t="shared" ca="1" si="624"/>
        <v>#NAME?</v>
      </c>
      <c r="AQ1008" s="200"/>
      <c r="AR1008" s="204"/>
      <c r="AS1008" s="204"/>
      <c r="AT1008" s="204"/>
      <c r="AU1008" s="204"/>
      <c r="AV1008" s="204"/>
    </row>
    <row r="1009" spans="1:48" ht="12" customHeight="1">
      <c r="A1009" s="24"/>
      <c r="B1009" s="24"/>
      <c r="C1009" s="24"/>
      <c r="D1009" s="24"/>
      <c r="E1009" s="24"/>
      <c r="F1009" s="24"/>
      <c r="G1009" s="24"/>
      <c r="H1009" s="393"/>
      <c r="I1009" s="465"/>
      <c r="J1009" s="281">
        <v>3</v>
      </c>
      <c r="K1009" s="2" t="s">
        <v>224</v>
      </c>
      <c r="L1009" s="112">
        <f t="shared" ref="L1009:S1009" si="637">L1010+L1042</f>
        <v>583334</v>
      </c>
      <c r="M1009" s="112">
        <f t="shared" si="637"/>
        <v>77421.726723737462</v>
      </c>
      <c r="N1009" s="113">
        <f t="shared" si="637"/>
        <v>798518</v>
      </c>
      <c r="O1009" s="113">
        <f t="shared" si="637"/>
        <v>105981.55152963036</v>
      </c>
      <c r="P1009" s="114">
        <f t="shared" si="637"/>
        <v>111500</v>
      </c>
      <c r="Q1009" s="114">
        <f t="shared" si="637"/>
        <v>102600</v>
      </c>
      <c r="R1009" s="88">
        <f t="shared" si="637"/>
        <v>100837</v>
      </c>
      <c r="S1009" s="90">
        <f t="shared" si="637"/>
        <v>0</v>
      </c>
      <c r="T1009" s="90"/>
      <c r="U1009" s="90"/>
      <c r="V1009" s="200">
        <f>V1010+V1042</f>
        <v>130639.93</v>
      </c>
      <c r="W1009" s="200">
        <f>W1010+W1042</f>
        <v>130639.93</v>
      </c>
      <c r="X1009" s="88">
        <f>X1010+X1042</f>
        <v>127840</v>
      </c>
      <c r="Y1009" s="171">
        <f>Y1010+Y1042</f>
        <v>132851.4</v>
      </c>
      <c r="Z1009" s="171">
        <f>Z1010+Z1042</f>
        <v>0</v>
      </c>
      <c r="AA1009" s="370" t="e">
        <f t="shared" ca="1" si="626"/>
        <v>#NAME?</v>
      </c>
      <c r="AB1009" s="171"/>
      <c r="AC1009" s="172">
        <f>AC1010+AC1042</f>
        <v>113600</v>
      </c>
      <c r="AD1009" s="172">
        <f>AD1010+AD1042</f>
        <v>113600</v>
      </c>
      <c r="AE1009" s="178">
        <f>O1009/M1009*100</f>
        <v>136.88864355583596</v>
      </c>
      <c r="AF1009" s="178">
        <f>P1009/O1009*100</f>
        <v>105.20698969841631</v>
      </c>
      <c r="AG1009" s="178">
        <f>Q1009/P1009*100</f>
        <v>92.017937219730939</v>
      </c>
      <c r="AH1009" s="178">
        <f>AC1009/Q1009*100</f>
        <v>110.72124756335282</v>
      </c>
      <c r="AI1009" s="171"/>
      <c r="AJ1009" s="171">
        <v>132851.4</v>
      </c>
      <c r="AK1009" s="171">
        <f t="shared" si="617"/>
        <v>129.55555004611401</v>
      </c>
      <c r="AL1009" s="171">
        <f t="shared" si="618"/>
        <v>97.856757884055824</v>
      </c>
      <c r="AM1009" s="171">
        <f t="shared" si="618"/>
        <v>103.92005632040049</v>
      </c>
      <c r="AN1009" s="90"/>
      <c r="AO1009" s="193"/>
      <c r="AP1009" s="193" t="e">
        <f t="shared" ca="1" si="624"/>
        <v>#NAME?</v>
      </c>
      <c r="AQ1009" s="200">
        <f>AQ1010+AQ1042</f>
        <v>128379.92000000001</v>
      </c>
      <c r="AR1009" s="204">
        <f t="shared" si="628"/>
        <v>129.55555004611401</v>
      </c>
      <c r="AS1009" s="204">
        <f t="shared" si="629"/>
        <v>100</v>
      </c>
      <c r="AT1009" s="204">
        <f t="shared" si="630"/>
        <v>129.55555004611401</v>
      </c>
      <c r="AU1009" s="204">
        <f t="shared" si="631"/>
        <v>98.270046531715096</v>
      </c>
      <c r="AV1009" s="204">
        <f t="shared" si="632"/>
        <v>127.31429931473568</v>
      </c>
    </row>
    <row r="1010" spans="1:48" ht="12" customHeight="1">
      <c r="A1010" s="301"/>
      <c r="B1010" s="301"/>
      <c r="C1010" s="301"/>
      <c r="D1010" s="301"/>
      <c r="E1010" s="301"/>
      <c r="F1010" s="301"/>
      <c r="G1010" s="301"/>
      <c r="H1010" s="307"/>
      <c r="I1010" s="350"/>
      <c r="J1010" s="302">
        <v>32</v>
      </c>
      <c r="K1010" s="343" t="s">
        <v>233</v>
      </c>
      <c r="L1010" s="112">
        <f t="shared" ref="L1010:S1010" si="638">L1012+L1020+L1035</f>
        <v>579031</v>
      </c>
      <c r="M1010" s="112">
        <f t="shared" si="638"/>
        <v>76850.620479129328</v>
      </c>
      <c r="N1010" s="113">
        <f t="shared" si="638"/>
        <v>794027</v>
      </c>
      <c r="O1010" s="113">
        <f t="shared" si="638"/>
        <v>105385.49339704028</v>
      </c>
      <c r="P1010" s="114">
        <f t="shared" si="638"/>
        <v>110400</v>
      </c>
      <c r="Q1010" s="114">
        <f t="shared" si="638"/>
        <v>101400</v>
      </c>
      <c r="R1010" s="88">
        <f t="shared" si="638"/>
        <v>100138</v>
      </c>
      <c r="S1010" s="90">
        <f t="shared" si="638"/>
        <v>0</v>
      </c>
      <c r="T1010" s="90"/>
      <c r="U1010" s="90"/>
      <c r="V1010" s="200">
        <f>V1012+V1020+V1035</f>
        <v>128709.93</v>
      </c>
      <c r="W1010" s="200">
        <f>W1012+W1020+W1035</f>
        <v>128709.93</v>
      </c>
      <c r="X1010" s="88">
        <f>X1012+X1020+X1035</f>
        <v>126640</v>
      </c>
      <c r="Y1010" s="171">
        <f>Y1012+Y1020+Y1035</f>
        <v>131451.4</v>
      </c>
      <c r="Z1010" s="171">
        <f>Z1012+Z1020+Z1035</f>
        <v>0</v>
      </c>
      <c r="AA1010" s="370" t="e">
        <f t="shared" ca="1" si="626"/>
        <v>#NAME?</v>
      </c>
      <c r="AB1010" s="171"/>
      <c r="AC1010" s="172">
        <f>AC1012+AC1020+AC1035</f>
        <v>112400</v>
      </c>
      <c r="AD1010" s="172">
        <f>AD1012+AD1020+AD1035</f>
        <v>112400</v>
      </c>
      <c r="AE1010" s="178">
        <f>O1010/M1010*100</f>
        <v>137.13030908535123</v>
      </c>
      <c r="AF1010" s="178">
        <f>P1010/O1010*100</f>
        <v>104.75825129372176</v>
      </c>
      <c r="AG1010" s="178">
        <f>Q1010/P1010*100</f>
        <v>91.847826086956516</v>
      </c>
      <c r="AH1010" s="178">
        <f>AC1010/Q1010*100</f>
        <v>110.84812623274163</v>
      </c>
      <c r="AI1010" s="171"/>
      <c r="AJ1010" s="171">
        <v>131451.4</v>
      </c>
      <c r="AK1010" s="171">
        <f t="shared" si="617"/>
        <v>128.53255507399788</v>
      </c>
      <c r="AL1010" s="171">
        <f t="shared" si="618"/>
        <v>98.39178686524032</v>
      </c>
      <c r="AM1010" s="171">
        <f t="shared" si="618"/>
        <v>103.79927353126975</v>
      </c>
      <c r="AN1010" s="90"/>
      <c r="AO1010" s="193"/>
      <c r="AP1010" s="193" t="e">
        <f t="shared" ca="1" si="624"/>
        <v>#NAME?</v>
      </c>
      <c r="AQ1010" s="200">
        <f>AQ1012+AQ1020+AQ1035</f>
        <v>127647.58000000002</v>
      </c>
      <c r="AR1010" s="204">
        <f t="shared" si="628"/>
        <v>128.53255507399788</v>
      </c>
      <c r="AS1010" s="204">
        <f t="shared" si="629"/>
        <v>100</v>
      </c>
      <c r="AT1010" s="204">
        <f t="shared" si="630"/>
        <v>128.53255507399788</v>
      </c>
      <c r="AU1010" s="204">
        <f t="shared" si="631"/>
        <v>99.174616907957315</v>
      </c>
      <c r="AV1010" s="204">
        <f t="shared" si="632"/>
        <v>127.47166909664665</v>
      </c>
    </row>
    <row r="1011" spans="1:48" ht="12" customHeight="1">
      <c r="A1011" s="24"/>
      <c r="B1011" s="24"/>
      <c r="C1011" s="24"/>
      <c r="D1011" s="24"/>
      <c r="E1011" s="24"/>
      <c r="F1011" s="24"/>
      <c r="G1011" s="24"/>
      <c r="H1011" s="393"/>
      <c r="I1011" s="465"/>
      <c r="J1011" s="281"/>
      <c r="K1011" s="2"/>
      <c r="L1011" s="85"/>
      <c r="M1011" s="85"/>
      <c r="N1011" s="86"/>
      <c r="O1011" s="86"/>
      <c r="P1011" s="87"/>
      <c r="Q1011" s="87"/>
      <c r="R1011" s="160"/>
      <c r="S1011" s="161"/>
      <c r="T1011" s="161"/>
      <c r="U1011" s="161"/>
      <c r="V1011" s="200"/>
      <c r="W1011" s="200"/>
      <c r="X1011" s="361"/>
      <c r="Y1011" s="373"/>
      <c r="Z1011" s="373"/>
      <c r="AA1011" s="370" t="e">
        <f t="shared" ca="1" si="626"/>
        <v>#NAME?</v>
      </c>
      <c r="AB1011" s="181"/>
      <c r="AC1011" s="182"/>
      <c r="AD1011" s="182"/>
      <c r="AE1011" s="178"/>
      <c r="AF1011" s="178"/>
      <c r="AG1011" s="178"/>
      <c r="AH1011" s="178"/>
      <c r="AI1011" s="181"/>
      <c r="AJ1011" s="373"/>
      <c r="AK1011" s="171"/>
      <c r="AL1011" s="171"/>
      <c r="AM1011" s="171"/>
      <c r="AN1011" s="161"/>
      <c r="AO1011" s="193"/>
      <c r="AP1011" s="193" t="e">
        <f t="shared" ca="1" si="624"/>
        <v>#NAME?</v>
      </c>
      <c r="AQ1011" s="200"/>
      <c r="AR1011" s="204"/>
      <c r="AS1011" s="204"/>
      <c r="AT1011" s="204"/>
      <c r="AU1011" s="204"/>
      <c r="AV1011" s="204"/>
    </row>
    <row r="1012" spans="1:48" ht="12" customHeight="1">
      <c r="A1012" s="62"/>
      <c r="B1012" s="272"/>
      <c r="C1012" s="272"/>
      <c r="D1012" s="272"/>
      <c r="E1012" s="272"/>
      <c r="F1012" s="272"/>
      <c r="G1012" s="272"/>
      <c r="H1012" s="396"/>
      <c r="I1012" s="493"/>
      <c r="J1012" s="303">
        <v>322</v>
      </c>
      <c r="K1012" s="19" t="s">
        <v>801</v>
      </c>
      <c r="L1012" s="112">
        <f t="shared" ref="L1012:S1012" si="639">L1013+L1014+L1015+L1016+L1017+L1018</f>
        <v>400497</v>
      </c>
      <c r="M1012" s="112">
        <f t="shared" si="639"/>
        <v>53155.08660163248</v>
      </c>
      <c r="N1012" s="113">
        <f t="shared" si="639"/>
        <v>479540</v>
      </c>
      <c r="O1012" s="113">
        <f t="shared" si="639"/>
        <v>63645.895547149768</v>
      </c>
      <c r="P1012" s="114">
        <f t="shared" si="639"/>
        <v>76800</v>
      </c>
      <c r="Q1012" s="114">
        <f t="shared" si="639"/>
        <v>72700</v>
      </c>
      <c r="R1012" s="88">
        <f t="shared" si="639"/>
        <v>72215</v>
      </c>
      <c r="S1012" s="90">
        <f t="shared" si="639"/>
        <v>0</v>
      </c>
      <c r="T1012" s="90"/>
      <c r="U1012" s="90"/>
      <c r="V1012" s="200">
        <f>V1013+V1014+V1015+V1016+V1017+V1018</f>
        <v>89519.76</v>
      </c>
      <c r="W1012" s="200">
        <f>W1013+W1014+W1015+W1016+W1017+W1018</f>
        <v>89519.76</v>
      </c>
      <c r="X1012" s="88">
        <f>X1013+X1014+X1015+X1016+X1017+X1018</f>
        <v>84000</v>
      </c>
      <c r="Y1012" s="171">
        <f>Y1013+Y1014+Y1015+Y1016+Y1017+Y1018</f>
        <v>86200.3</v>
      </c>
      <c r="Z1012" s="171">
        <f>Z1013+Z1014+Z1015+Z1016+Z1017+Z1018</f>
        <v>0</v>
      </c>
      <c r="AA1012" s="370" t="e">
        <f t="shared" ca="1" si="626"/>
        <v>#NAME?</v>
      </c>
      <c r="AB1012" s="171"/>
      <c r="AC1012" s="172">
        <f>AC1013+AC1014+AC1015+AC1016+AC1017+AC1018</f>
        <v>78000</v>
      </c>
      <c r="AD1012" s="172">
        <f>AD1013+AD1014+AD1015+AD1016+AD1017+AD1018</f>
        <v>78000</v>
      </c>
      <c r="AE1012" s="178">
        <f>O1012/M1012*100</f>
        <v>119.73622773703674</v>
      </c>
      <c r="AF1012" s="178">
        <f t="shared" ref="AF1012:AG1016" si="640">P1012/O1012*100</f>
        <v>120.66763982149563</v>
      </c>
      <c r="AG1012" s="178">
        <f t="shared" si="640"/>
        <v>94.661458333333343</v>
      </c>
      <c r="AH1012" s="178">
        <f>AC1012/Q1012*100</f>
        <v>107.29023383768914</v>
      </c>
      <c r="AI1012" s="171"/>
      <c r="AJ1012" s="171">
        <v>86200.3</v>
      </c>
      <c r="AK1012" s="171">
        <f t="shared" si="617"/>
        <v>123.96283320639756</v>
      </c>
      <c r="AL1012" s="171">
        <f t="shared" si="618"/>
        <v>93.83403172662662</v>
      </c>
      <c r="AM1012" s="171">
        <f t="shared" si="618"/>
        <v>102.61940476190476</v>
      </c>
      <c r="AN1012" s="90"/>
      <c r="AO1012" s="193"/>
      <c r="AP1012" s="193" t="e">
        <f t="shared" ca="1" si="624"/>
        <v>#NAME?</v>
      </c>
      <c r="AQ1012" s="200">
        <f>AQ1013+AQ1014+AQ1015+AQ1016+AQ1017+AQ1018</f>
        <v>87396.32</v>
      </c>
      <c r="AR1012" s="204">
        <f t="shared" si="628"/>
        <v>123.96283320639756</v>
      </c>
      <c r="AS1012" s="204">
        <f t="shared" si="629"/>
        <v>100</v>
      </c>
      <c r="AT1012" s="204">
        <f t="shared" si="630"/>
        <v>123.96283320639756</v>
      </c>
      <c r="AU1012" s="204">
        <f t="shared" si="631"/>
        <v>97.627965043695397</v>
      </c>
      <c r="AV1012" s="204">
        <f t="shared" si="632"/>
        <v>121.02239146991623</v>
      </c>
    </row>
    <row r="1013" spans="1:48" ht="12" customHeight="1">
      <c r="A1013" s="53"/>
      <c r="B1013" s="53"/>
      <c r="C1013" s="53"/>
      <c r="D1013" s="53"/>
      <c r="E1013" s="53"/>
      <c r="F1013" s="53"/>
      <c r="G1013" s="53"/>
      <c r="H1013" s="1"/>
      <c r="I1013" s="397">
        <v>911</v>
      </c>
      <c r="J1013" s="229">
        <v>3221</v>
      </c>
      <c r="K1013" s="18" t="s">
        <v>802</v>
      </c>
      <c r="L1013" s="130">
        <v>92336</v>
      </c>
      <c r="M1013" s="130">
        <f>92336/7.5345</f>
        <v>12255.093237772911</v>
      </c>
      <c r="N1013" s="131">
        <v>88937</v>
      </c>
      <c r="O1013" s="131">
        <f t="shared" ref="O1013:O1018" si="641">N1013/7.5345</f>
        <v>11803.968411971597</v>
      </c>
      <c r="P1013" s="132">
        <v>11300</v>
      </c>
      <c r="Q1013" s="132">
        <v>11300</v>
      </c>
      <c r="R1013" s="159">
        <v>10486</v>
      </c>
      <c r="S1013" s="165"/>
      <c r="T1013" s="165"/>
      <c r="U1013" s="165"/>
      <c r="V1013" s="200">
        <v>12999.5</v>
      </c>
      <c r="W1013" s="200">
        <v>12999.5</v>
      </c>
      <c r="X1013" s="164">
        <v>13000</v>
      </c>
      <c r="Y1013" s="378">
        <v>13200</v>
      </c>
      <c r="Z1013" s="378"/>
      <c r="AA1013" s="370" t="e">
        <f t="shared" ca="1" si="626"/>
        <v>#NAME?</v>
      </c>
      <c r="AB1013" s="183"/>
      <c r="AC1013" s="178">
        <v>11500</v>
      </c>
      <c r="AD1013" s="178">
        <v>11500</v>
      </c>
      <c r="AE1013" s="178">
        <f>O1013/M1013*100</f>
        <v>96.318878877144328</v>
      </c>
      <c r="AF1013" s="178">
        <f t="shared" si="640"/>
        <v>95.730517107615512</v>
      </c>
      <c r="AG1013" s="178">
        <f t="shared" si="640"/>
        <v>100</v>
      </c>
      <c r="AH1013" s="178">
        <f>AC1013/Q1013*100</f>
        <v>101.76991150442478</v>
      </c>
      <c r="AI1013" s="183"/>
      <c r="AJ1013" s="378">
        <v>13200</v>
      </c>
      <c r="AK1013" s="171">
        <f t="shared" si="617"/>
        <v>123.97005531184438</v>
      </c>
      <c r="AL1013" s="171">
        <f t="shared" si="618"/>
        <v>100.00384630178083</v>
      </c>
      <c r="AM1013" s="171">
        <f t="shared" si="618"/>
        <v>101.53846153846153</v>
      </c>
      <c r="AN1013" s="165"/>
      <c r="AO1013" s="193"/>
      <c r="AP1013" s="193" t="e">
        <f t="shared" ca="1" si="624"/>
        <v>#NAME?</v>
      </c>
      <c r="AQ1013" s="200">
        <v>12964.23</v>
      </c>
      <c r="AR1013" s="204">
        <f t="shared" si="628"/>
        <v>123.97005531184438</v>
      </c>
      <c r="AS1013" s="204">
        <f t="shared" si="629"/>
        <v>100</v>
      </c>
      <c r="AT1013" s="204">
        <f t="shared" si="630"/>
        <v>123.97005531184438</v>
      </c>
      <c r="AU1013" s="204">
        <f t="shared" si="631"/>
        <v>99.728681872379696</v>
      </c>
      <c r="AV1013" s="204">
        <f t="shared" si="632"/>
        <v>123.63370207896243</v>
      </c>
    </row>
    <row r="1014" spans="1:48" ht="12" customHeight="1">
      <c r="A1014" s="53"/>
      <c r="B1014" s="53"/>
      <c r="C1014" s="53"/>
      <c r="D1014" s="53"/>
      <c r="E1014" s="53"/>
      <c r="F1014" s="53"/>
      <c r="G1014" s="53"/>
      <c r="H1014" s="1"/>
      <c r="I1014" s="397">
        <v>911</v>
      </c>
      <c r="J1014" s="229">
        <v>3222</v>
      </c>
      <c r="K1014" s="18" t="s">
        <v>241</v>
      </c>
      <c r="L1014" s="130">
        <v>211207</v>
      </c>
      <c r="M1014" s="130">
        <f>211207/7.5345</f>
        <v>28031.986196827922</v>
      </c>
      <c r="N1014" s="131">
        <v>256784</v>
      </c>
      <c r="O1014" s="131">
        <f t="shared" si="641"/>
        <v>34081.093635941332</v>
      </c>
      <c r="P1014" s="132">
        <v>40500</v>
      </c>
      <c r="Q1014" s="163">
        <v>42200</v>
      </c>
      <c r="R1014" s="159">
        <v>47585</v>
      </c>
      <c r="S1014" s="165"/>
      <c r="T1014" s="165"/>
      <c r="U1014" s="165"/>
      <c r="V1014" s="200">
        <v>48300</v>
      </c>
      <c r="W1014" s="200">
        <v>48300</v>
      </c>
      <c r="X1014" s="164">
        <v>50000</v>
      </c>
      <c r="Y1014" s="378">
        <v>51200</v>
      </c>
      <c r="Z1014" s="378"/>
      <c r="AA1014" s="370" t="e">
        <f t="shared" ca="1" si="626"/>
        <v>#NAME?</v>
      </c>
      <c r="AB1014" s="183"/>
      <c r="AC1014" s="178">
        <v>40500</v>
      </c>
      <c r="AD1014" s="178">
        <v>40500</v>
      </c>
      <c r="AE1014" s="178">
        <f>O1014/M1014*100</f>
        <v>121.5793037162594</v>
      </c>
      <c r="AF1014" s="178">
        <f t="shared" si="640"/>
        <v>118.8342147485825</v>
      </c>
      <c r="AG1014" s="178">
        <f t="shared" si="640"/>
        <v>104.19753086419755</v>
      </c>
      <c r="AH1014" s="178">
        <f>AC1014/Q1014*100</f>
        <v>95.97156398104265</v>
      </c>
      <c r="AI1014" s="183"/>
      <c r="AJ1014" s="378">
        <v>51200</v>
      </c>
      <c r="AK1014" s="171">
        <f t="shared" si="617"/>
        <v>101.50257434065357</v>
      </c>
      <c r="AL1014" s="171">
        <f t="shared" si="618"/>
        <v>103.51966873706004</v>
      </c>
      <c r="AM1014" s="171">
        <f t="shared" si="618"/>
        <v>102.4</v>
      </c>
      <c r="AN1014" s="165"/>
      <c r="AO1014" s="193"/>
      <c r="AP1014" s="193" t="e">
        <f t="shared" ca="1" si="624"/>
        <v>#NAME?</v>
      </c>
      <c r="AQ1014" s="200">
        <v>51210.44</v>
      </c>
      <c r="AR1014" s="204">
        <f t="shared" si="628"/>
        <v>101.50257434065357</v>
      </c>
      <c r="AS1014" s="204">
        <f t="shared" si="629"/>
        <v>100</v>
      </c>
      <c r="AT1014" s="204">
        <f t="shared" si="630"/>
        <v>101.50257434065357</v>
      </c>
      <c r="AU1014" s="204">
        <f t="shared" si="631"/>
        <v>106.02575569358179</v>
      </c>
      <c r="AV1014" s="204">
        <f t="shared" si="632"/>
        <v>107.61887149311758</v>
      </c>
    </row>
    <row r="1015" spans="1:48" ht="12" customHeight="1">
      <c r="A1015" s="53"/>
      <c r="B1015" s="53"/>
      <c r="C1015" s="53"/>
      <c r="D1015" s="53"/>
      <c r="E1015" s="53"/>
      <c r="F1015" s="53"/>
      <c r="G1015" s="53"/>
      <c r="H1015" s="1"/>
      <c r="I1015" s="397">
        <v>911</v>
      </c>
      <c r="J1015" s="229">
        <v>3223</v>
      </c>
      <c r="K1015" s="18" t="s">
        <v>242</v>
      </c>
      <c r="L1015" s="130">
        <v>48338</v>
      </c>
      <c r="M1015" s="130">
        <f>48338/7.5345</f>
        <v>6415.5551131461934</v>
      </c>
      <c r="N1015" s="131">
        <v>78461</v>
      </c>
      <c r="O1015" s="131">
        <f t="shared" si="641"/>
        <v>10413.564271019974</v>
      </c>
      <c r="P1015" s="132">
        <v>13100</v>
      </c>
      <c r="Q1015" s="163">
        <v>9200</v>
      </c>
      <c r="R1015" s="159">
        <v>5305</v>
      </c>
      <c r="S1015" s="165"/>
      <c r="T1015" s="165"/>
      <c r="U1015" s="165"/>
      <c r="V1015" s="200">
        <v>12220.26</v>
      </c>
      <c r="W1015" s="200">
        <v>12220.26</v>
      </c>
      <c r="X1015" s="164">
        <v>8000</v>
      </c>
      <c r="Y1015" s="378">
        <v>8500</v>
      </c>
      <c r="Z1015" s="378"/>
      <c r="AA1015" s="370" t="e">
        <f t="shared" ca="1" si="626"/>
        <v>#NAME?</v>
      </c>
      <c r="AB1015" s="183"/>
      <c r="AC1015" s="178">
        <v>14000</v>
      </c>
      <c r="AD1015" s="178">
        <v>14000</v>
      </c>
      <c r="AE1015" s="178">
        <f>O1015/M1015*100</f>
        <v>162.31743142041458</v>
      </c>
      <c r="AF1015" s="178">
        <f t="shared" si="640"/>
        <v>125.79746625712139</v>
      </c>
      <c r="AG1015" s="178">
        <f t="shared" si="640"/>
        <v>70.229007633587784</v>
      </c>
      <c r="AH1015" s="178">
        <f>AC1015/Q1015*100</f>
        <v>152.17391304347828</v>
      </c>
      <c r="AI1015" s="183"/>
      <c r="AJ1015" s="378">
        <v>8500</v>
      </c>
      <c r="AK1015" s="171">
        <f t="shared" si="617"/>
        <v>230.35362865221489</v>
      </c>
      <c r="AL1015" s="171">
        <f t="shared" si="618"/>
        <v>65.465055571649046</v>
      </c>
      <c r="AM1015" s="171">
        <f t="shared" si="618"/>
        <v>106.25</v>
      </c>
      <c r="AN1015" s="165"/>
      <c r="AO1015" s="193"/>
      <c r="AP1015" s="193" t="e">
        <f t="shared" ca="1" si="624"/>
        <v>#NAME?</v>
      </c>
      <c r="AQ1015" s="200">
        <v>5468.05</v>
      </c>
      <c r="AR1015" s="204">
        <f t="shared" si="628"/>
        <v>230.35362865221489</v>
      </c>
      <c r="AS1015" s="204">
        <f t="shared" si="629"/>
        <v>100</v>
      </c>
      <c r="AT1015" s="204">
        <f t="shared" si="630"/>
        <v>230.35362865221489</v>
      </c>
      <c r="AU1015" s="204">
        <f t="shared" si="631"/>
        <v>44.745774639819444</v>
      </c>
      <c r="AV1015" s="204">
        <f t="shared" si="632"/>
        <v>103.07351555136664</v>
      </c>
    </row>
    <row r="1016" spans="1:48" ht="12" customHeight="1">
      <c r="A1016" s="53"/>
      <c r="B1016" s="53"/>
      <c r="C1016" s="53"/>
      <c r="D1016" s="53"/>
      <c r="E1016" s="53"/>
      <c r="F1016" s="53"/>
      <c r="G1016" s="53"/>
      <c r="H1016" s="1">
        <v>38</v>
      </c>
      <c r="I1016" s="397">
        <v>911</v>
      </c>
      <c r="J1016" s="229">
        <v>3224</v>
      </c>
      <c r="K1016" s="18" t="s">
        <v>803</v>
      </c>
      <c r="L1016" s="130">
        <v>13501</v>
      </c>
      <c r="M1016" s="130">
        <f>13501/7.5345</f>
        <v>1791.8906364058662</v>
      </c>
      <c r="N1016" s="131">
        <v>47763</v>
      </c>
      <c r="O1016" s="131">
        <f t="shared" si="641"/>
        <v>6339.2394983077838</v>
      </c>
      <c r="P1016" s="132">
        <v>7900</v>
      </c>
      <c r="Q1016" s="163">
        <v>1600</v>
      </c>
      <c r="R1016" s="159">
        <v>679</v>
      </c>
      <c r="S1016" s="165"/>
      <c r="T1016" s="165"/>
      <c r="U1016" s="165"/>
      <c r="V1016" s="200">
        <v>3000</v>
      </c>
      <c r="W1016" s="200">
        <v>3000</v>
      </c>
      <c r="X1016" s="164">
        <v>5500</v>
      </c>
      <c r="Y1016" s="378">
        <v>6500.1</v>
      </c>
      <c r="Z1016" s="378"/>
      <c r="AA1016" s="370" t="e">
        <f t="shared" ca="1" si="626"/>
        <v>#NAME?</v>
      </c>
      <c r="AB1016" s="183"/>
      <c r="AC1016" s="178">
        <v>8000</v>
      </c>
      <c r="AD1016" s="178">
        <v>8000</v>
      </c>
      <c r="AE1016" s="178">
        <f>O1016/M1016*100</f>
        <v>353.77379453373823</v>
      </c>
      <c r="AF1016" s="178">
        <f t="shared" si="640"/>
        <v>124.62062684504743</v>
      </c>
      <c r="AG1016" s="178">
        <f t="shared" si="640"/>
        <v>20.253164556962027</v>
      </c>
      <c r="AH1016" s="178">
        <f>AC1016/Q1016*100</f>
        <v>500</v>
      </c>
      <c r="AI1016" s="183"/>
      <c r="AJ1016" s="378">
        <v>6500.1</v>
      </c>
      <c r="AK1016" s="171">
        <f t="shared" si="617"/>
        <v>441.82621502209133</v>
      </c>
      <c r="AL1016" s="171">
        <f t="shared" si="618"/>
        <v>183.33333333333331</v>
      </c>
      <c r="AM1016" s="171">
        <f t="shared" si="618"/>
        <v>118.18363636363638</v>
      </c>
      <c r="AN1016" s="165"/>
      <c r="AO1016" s="193"/>
      <c r="AP1016" s="193" t="e">
        <f t="shared" ca="1" si="624"/>
        <v>#NAME?</v>
      </c>
      <c r="AQ1016" s="200">
        <v>4007.6</v>
      </c>
      <c r="AR1016" s="204">
        <f t="shared" si="628"/>
        <v>441.82621502209133</v>
      </c>
      <c r="AS1016" s="204">
        <f t="shared" si="629"/>
        <v>100</v>
      </c>
      <c r="AT1016" s="204">
        <f t="shared" si="630"/>
        <v>441.82621502209133</v>
      </c>
      <c r="AU1016" s="204">
        <f t="shared" si="631"/>
        <v>133.58666666666664</v>
      </c>
      <c r="AV1016" s="204">
        <f t="shared" si="632"/>
        <v>590.22091310751102</v>
      </c>
    </row>
    <row r="1017" spans="1:48" ht="12" customHeight="1">
      <c r="A1017" s="53"/>
      <c r="B1017" s="53"/>
      <c r="C1017" s="53"/>
      <c r="D1017" s="53"/>
      <c r="E1017" s="53"/>
      <c r="F1017" s="53"/>
      <c r="G1017" s="53"/>
      <c r="H1017" s="309" t="s">
        <v>804</v>
      </c>
      <c r="I1017" s="543">
        <v>911</v>
      </c>
      <c r="J1017" s="352">
        <v>3224</v>
      </c>
      <c r="K1017" s="353" t="s">
        <v>805</v>
      </c>
      <c r="L1017" s="354">
        <v>0</v>
      </c>
      <c r="M1017" s="354">
        <v>0</v>
      </c>
      <c r="N1017" s="355">
        <v>0</v>
      </c>
      <c r="O1017" s="131">
        <f t="shared" si="641"/>
        <v>0</v>
      </c>
      <c r="P1017" s="356">
        <v>0</v>
      </c>
      <c r="Q1017" s="356">
        <v>0</v>
      </c>
      <c r="R1017" s="363">
        <v>0</v>
      </c>
      <c r="S1017" s="364"/>
      <c r="T1017" s="364"/>
      <c r="U1017" s="364"/>
      <c r="V1017" s="200"/>
      <c r="W1017" s="200"/>
      <c r="X1017" s="365"/>
      <c r="Y1017" s="382"/>
      <c r="Z1017" s="382"/>
      <c r="AA1017" s="370" t="e">
        <f t="shared" ca="1" si="626"/>
        <v>#NAME?</v>
      </c>
      <c r="AB1017" s="383"/>
      <c r="AC1017" s="366">
        <v>0</v>
      </c>
      <c r="AD1017" s="366">
        <v>0</v>
      </c>
      <c r="AE1017" s="178"/>
      <c r="AF1017" s="178"/>
      <c r="AG1017" s="178"/>
      <c r="AH1017" s="178"/>
      <c r="AI1017" s="383"/>
      <c r="AJ1017" s="382"/>
      <c r="AK1017" s="171"/>
      <c r="AL1017" s="171"/>
      <c r="AM1017" s="171"/>
      <c r="AN1017" s="364"/>
      <c r="AO1017" s="193"/>
      <c r="AP1017" s="193" t="e">
        <f t="shared" ca="1" si="624"/>
        <v>#NAME?</v>
      </c>
      <c r="AQ1017" s="200"/>
      <c r="AR1017" s="204"/>
      <c r="AS1017" s="204"/>
      <c r="AT1017" s="204"/>
      <c r="AU1017" s="204"/>
      <c r="AV1017" s="204"/>
    </row>
    <row r="1018" spans="1:48" ht="12" customHeight="1">
      <c r="A1018" s="53"/>
      <c r="B1018" s="53"/>
      <c r="C1018" s="53"/>
      <c r="D1018" s="53"/>
      <c r="E1018" s="53"/>
      <c r="F1018" s="53"/>
      <c r="G1018" s="53"/>
      <c r="H1018" s="309" t="s">
        <v>806</v>
      </c>
      <c r="I1018" s="543">
        <v>911</v>
      </c>
      <c r="J1018" s="352">
        <v>3225</v>
      </c>
      <c r="K1018" s="353" t="s">
        <v>353</v>
      </c>
      <c r="L1018" s="354">
        <v>35115</v>
      </c>
      <c r="M1018" s="354">
        <f>35115/7.5345</f>
        <v>4660.5614174795937</v>
      </c>
      <c r="N1018" s="355">
        <v>7595</v>
      </c>
      <c r="O1018" s="131">
        <f t="shared" si="641"/>
        <v>1008.0297299090848</v>
      </c>
      <c r="P1018" s="356">
        <v>4000</v>
      </c>
      <c r="Q1018" s="459">
        <v>8400</v>
      </c>
      <c r="R1018" s="363">
        <v>8160</v>
      </c>
      <c r="S1018" s="364"/>
      <c r="T1018" s="364"/>
      <c r="U1018" s="364"/>
      <c r="V1018" s="200">
        <v>13000</v>
      </c>
      <c r="W1018" s="200">
        <v>13000</v>
      </c>
      <c r="X1018" s="365">
        <v>7500</v>
      </c>
      <c r="Y1018" s="382">
        <v>6800.2</v>
      </c>
      <c r="Z1018" s="382"/>
      <c r="AA1018" s="370" t="e">
        <f t="shared" ca="1" si="626"/>
        <v>#NAME?</v>
      </c>
      <c r="AB1018" s="383"/>
      <c r="AC1018" s="366">
        <v>4000</v>
      </c>
      <c r="AD1018" s="366">
        <v>4000</v>
      </c>
      <c r="AE1018" s="178">
        <f>O1018/M1018*100</f>
        <v>21.628933504200486</v>
      </c>
      <c r="AF1018" s="178">
        <f>P1018/O1018*100</f>
        <v>396.81369321922318</v>
      </c>
      <c r="AG1018" s="178">
        <f>Q1018/P1018*100</f>
        <v>210</v>
      </c>
      <c r="AH1018" s="178">
        <f>AC1018/Q1018*100</f>
        <v>47.619047619047613</v>
      </c>
      <c r="AI1018" s="383"/>
      <c r="AJ1018" s="382">
        <v>6800.2</v>
      </c>
      <c r="AK1018" s="171">
        <f t="shared" si="617"/>
        <v>159.31372549019608</v>
      </c>
      <c r="AL1018" s="171">
        <f t="shared" si="618"/>
        <v>57.692307692307686</v>
      </c>
      <c r="AM1018" s="171">
        <f t="shared" si="618"/>
        <v>90.669333333333341</v>
      </c>
      <c r="AN1018" s="364"/>
      <c r="AO1018" s="193"/>
      <c r="AP1018" s="193" t="e">
        <f t="shared" ca="1" si="624"/>
        <v>#NAME?</v>
      </c>
      <c r="AQ1018" s="200">
        <v>13746</v>
      </c>
      <c r="AR1018" s="204">
        <f t="shared" si="628"/>
        <v>159.31372549019608</v>
      </c>
      <c r="AS1018" s="204">
        <f t="shared" si="629"/>
        <v>100</v>
      </c>
      <c r="AT1018" s="204">
        <f t="shared" si="630"/>
        <v>159.31372549019608</v>
      </c>
      <c r="AU1018" s="204">
        <f t="shared" si="631"/>
        <v>105.73846153846154</v>
      </c>
      <c r="AV1018" s="204">
        <f t="shared" si="632"/>
        <v>168.45588235294119</v>
      </c>
    </row>
    <row r="1019" spans="1:48" ht="12" customHeight="1">
      <c r="A1019" s="24"/>
      <c r="B1019" s="24"/>
      <c r="C1019" s="24"/>
      <c r="D1019" s="24"/>
      <c r="E1019" s="24"/>
      <c r="F1019" s="24"/>
      <c r="G1019" s="24"/>
      <c r="H1019" s="309"/>
      <c r="I1019" s="544"/>
      <c r="J1019" s="317"/>
      <c r="K1019" s="45"/>
      <c r="L1019" s="311"/>
      <c r="M1019" s="311"/>
      <c r="N1019" s="312"/>
      <c r="O1019" s="312"/>
      <c r="P1019" s="313"/>
      <c r="Q1019" s="313"/>
      <c r="R1019" s="96"/>
      <c r="S1019" s="98"/>
      <c r="T1019" s="98"/>
      <c r="U1019" s="98"/>
      <c r="V1019" s="200"/>
      <c r="W1019" s="200"/>
      <c r="X1019" s="546"/>
      <c r="Y1019" s="547"/>
      <c r="Z1019" s="547"/>
      <c r="AA1019" s="370" t="e">
        <f t="shared" ca="1" si="626"/>
        <v>#NAME?</v>
      </c>
      <c r="AB1019" s="173"/>
      <c r="AC1019" s="174"/>
      <c r="AD1019" s="174"/>
      <c r="AE1019" s="178"/>
      <c r="AF1019" s="178"/>
      <c r="AG1019" s="178"/>
      <c r="AH1019" s="178"/>
      <c r="AI1019" s="173"/>
      <c r="AJ1019" s="547"/>
      <c r="AK1019" s="171"/>
      <c r="AL1019" s="171"/>
      <c r="AM1019" s="171"/>
      <c r="AN1019" s="98"/>
      <c r="AO1019" s="193"/>
      <c r="AP1019" s="193" t="e">
        <f t="shared" ca="1" si="624"/>
        <v>#NAME?</v>
      </c>
      <c r="AQ1019" s="200"/>
      <c r="AR1019" s="204"/>
      <c r="AS1019" s="204"/>
      <c r="AT1019" s="204"/>
      <c r="AU1019" s="204"/>
      <c r="AV1019" s="204"/>
    </row>
    <row r="1020" spans="1:48" ht="12" customHeight="1">
      <c r="A1020" s="62"/>
      <c r="B1020" s="62"/>
      <c r="C1020" s="62"/>
      <c r="D1020" s="62"/>
      <c r="E1020" s="62"/>
      <c r="F1020" s="62"/>
      <c r="G1020" s="62"/>
      <c r="H1020" s="532"/>
      <c r="I1020" s="545"/>
      <c r="J1020" s="535">
        <v>323</v>
      </c>
      <c r="K1020" s="310" t="s">
        <v>356</v>
      </c>
      <c r="L1020" s="311">
        <f t="shared" ref="L1020:S1020" si="642">L1021+L1022+L1023+L1024+L1025+L1026+L1027+L1028+L1029</f>
        <v>167537</v>
      </c>
      <c r="M1020" s="311">
        <f t="shared" si="642"/>
        <v>22235.981153361205</v>
      </c>
      <c r="N1020" s="312">
        <f t="shared" si="642"/>
        <v>300061</v>
      </c>
      <c r="O1020" s="312">
        <f t="shared" si="642"/>
        <v>39824.93861570111</v>
      </c>
      <c r="P1020" s="313">
        <f t="shared" si="642"/>
        <v>29100</v>
      </c>
      <c r="Q1020" s="313">
        <f t="shared" si="642"/>
        <v>22700</v>
      </c>
      <c r="R1020" s="96">
        <f t="shared" si="642"/>
        <v>23667</v>
      </c>
      <c r="S1020" s="98">
        <f t="shared" si="642"/>
        <v>0</v>
      </c>
      <c r="T1020" s="98"/>
      <c r="U1020" s="98"/>
      <c r="V1020" s="200">
        <f>V1021+V1022+V1023+V1024+V1025+V1026+V1027+V1028+V1029</f>
        <v>30419.919999999998</v>
      </c>
      <c r="W1020" s="200">
        <f>W1021+W1022+W1023+W1024+W1025+W1026+W1027+W1028+W1029</f>
        <v>30419.919999999998</v>
      </c>
      <c r="X1020" s="96">
        <f>X1021+X1022+X1023+X1024+X1025+X1026+X1027+X1028+X1029</f>
        <v>33190</v>
      </c>
      <c r="Y1020" s="173">
        <f>Y1021+Y1022+Y1023+Y1024+Y1025+Y1026+Y1027+Y1028+Y1029</f>
        <v>35450.800000000003</v>
      </c>
      <c r="Z1020" s="173">
        <f>Z1021+Z1022+Z1023+Z1024+Z1025+Z1026+Z1027+Z1028+Z1029</f>
        <v>0</v>
      </c>
      <c r="AA1020" s="370" t="e">
        <f t="shared" ca="1" si="626"/>
        <v>#NAME?</v>
      </c>
      <c r="AB1020" s="173"/>
      <c r="AC1020" s="174">
        <f>AC1021+AC1022+AC1023+AC1024+AC1025+AC1026+AC1027+AC1028+AC1029</f>
        <v>29700</v>
      </c>
      <c r="AD1020" s="174">
        <f>AD1021+AD1022+AD1023+AD1024+AD1025+AD1026+AD1027+AD1028+AD1029</f>
        <v>29700</v>
      </c>
      <c r="AE1020" s="178">
        <f>O1020/M1020*100</f>
        <v>179.10133283991001</v>
      </c>
      <c r="AF1020" s="178">
        <f t="shared" ref="AF1020:AG1022" si="643">P1020/O1020*100</f>
        <v>73.069792475529965</v>
      </c>
      <c r="AG1020" s="178">
        <f t="shared" si="643"/>
        <v>78.006872852233684</v>
      </c>
      <c r="AH1020" s="178">
        <f>AC1020/Q1020*100</f>
        <v>130.83700440528634</v>
      </c>
      <c r="AI1020" s="173"/>
      <c r="AJ1020" s="173">
        <v>35450.800000000003</v>
      </c>
      <c r="AK1020" s="171">
        <f t="shared" si="617"/>
        <v>128.53306291460683</v>
      </c>
      <c r="AL1020" s="171">
        <f t="shared" si="618"/>
        <v>109.10613834618894</v>
      </c>
      <c r="AM1020" s="171">
        <f t="shared" si="618"/>
        <v>106.81169026815307</v>
      </c>
      <c r="AN1020" s="98"/>
      <c r="AO1020" s="193"/>
      <c r="AP1020" s="193" t="e">
        <f t="shared" ca="1" si="624"/>
        <v>#NAME?</v>
      </c>
      <c r="AQ1020" s="200">
        <f>AQ1021+AQ1022+AQ1023+AQ1024+AQ1025+AQ1026+AQ1027+AQ1028+AQ1029</f>
        <v>36007.33</v>
      </c>
      <c r="AR1020" s="204">
        <f t="shared" si="628"/>
        <v>128.53306291460683</v>
      </c>
      <c r="AS1020" s="204">
        <f t="shared" si="629"/>
        <v>100</v>
      </c>
      <c r="AT1020" s="204">
        <f t="shared" si="630"/>
        <v>128.53306291460683</v>
      </c>
      <c r="AU1020" s="204">
        <f t="shared" si="631"/>
        <v>118.36760254464839</v>
      </c>
      <c r="AV1020" s="204">
        <f t="shared" si="632"/>
        <v>152.14150504922466</v>
      </c>
    </row>
    <row r="1021" spans="1:48" ht="12" customHeight="1">
      <c r="A1021" s="53"/>
      <c r="B1021" s="53"/>
      <c r="C1021" s="53"/>
      <c r="D1021" s="53"/>
      <c r="E1021" s="53"/>
      <c r="F1021" s="53"/>
      <c r="G1021" s="53"/>
      <c r="H1021" s="309"/>
      <c r="I1021" s="543">
        <v>911</v>
      </c>
      <c r="J1021" s="352">
        <v>3231</v>
      </c>
      <c r="K1021" s="353" t="s">
        <v>807</v>
      </c>
      <c r="L1021" s="354">
        <v>13832</v>
      </c>
      <c r="M1021" s="354">
        <f>13832/7.5345</f>
        <v>1835.8218859911074</v>
      </c>
      <c r="N1021" s="355">
        <v>14591</v>
      </c>
      <c r="O1021" s="355">
        <f>N1021/7.5345</f>
        <v>1936.5584975778086</v>
      </c>
      <c r="P1021" s="356">
        <v>3600</v>
      </c>
      <c r="Q1021" s="356">
        <v>3600</v>
      </c>
      <c r="R1021" s="363">
        <v>3471</v>
      </c>
      <c r="S1021" s="364"/>
      <c r="T1021" s="364"/>
      <c r="U1021" s="364"/>
      <c r="V1021" s="200">
        <v>4020</v>
      </c>
      <c r="W1021" s="200">
        <v>4020</v>
      </c>
      <c r="X1021" s="365">
        <v>4500</v>
      </c>
      <c r="Y1021" s="382">
        <v>4600.1000000000004</v>
      </c>
      <c r="Z1021" s="382"/>
      <c r="AA1021" s="370" t="e">
        <f t="shared" ca="1" si="626"/>
        <v>#NAME?</v>
      </c>
      <c r="AB1021" s="383"/>
      <c r="AC1021" s="366">
        <v>3700</v>
      </c>
      <c r="AD1021" s="366">
        <v>3700</v>
      </c>
      <c r="AE1021" s="178">
        <f>O1021/M1021*100</f>
        <v>105.48727588201272</v>
      </c>
      <c r="AF1021" s="178">
        <f t="shared" si="643"/>
        <v>185.89678568980881</v>
      </c>
      <c r="AG1021" s="178">
        <f t="shared" si="643"/>
        <v>100</v>
      </c>
      <c r="AH1021" s="178">
        <f>AC1021/Q1021*100</f>
        <v>102.77777777777777</v>
      </c>
      <c r="AI1021" s="383"/>
      <c r="AJ1021" s="382">
        <v>4600.1000000000004</v>
      </c>
      <c r="AK1021" s="171">
        <f t="shared" si="617"/>
        <v>115.81676750216077</v>
      </c>
      <c r="AL1021" s="171">
        <f t="shared" si="618"/>
        <v>111.94029850746267</v>
      </c>
      <c r="AM1021" s="171">
        <f t="shared" si="618"/>
        <v>102.22444444444446</v>
      </c>
      <c r="AN1021" s="364"/>
      <c r="AO1021" s="193"/>
      <c r="AP1021" s="193" t="e">
        <f t="shared" ca="1" si="624"/>
        <v>#NAME?</v>
      </c>
      <c r="AQ1021" s="200">
        <v>3149.99</v>
      </c>
      <c r="AR1021" s="204">
        <f t="shared" si="628"/>
        <v>115.81676750216077</v>
      </c>
      <c r="AS1021" s="204">
        <f t="shared" si="629"/>
        <v>100</v>
      </c>
      <c r="AT1021" s="204">
        <f t="shared" si="630"/>
        <v>115.81676750216077</v>
      </c>
      <c r="AU1021" s="204">
        <f t="shared" si="631"/>
        <v>78.357960199004978</v>
      </c>
      <c r="AV1021" s="204">
        <f t="shared" si="632"/>
        <v>90.751656583117253</v>
      </c>
    </row>
    <row r="1022" spans="1:48" ht="12" customHeight="1">
      <c r="A1022" s="53"/>
      <c r="B1022" s="53"/>
      <c r="C1022" s="53"/>
      <c r="D1022" s="53"/>
      <c r="E1022" s="53"/>
      <c r="F1022" s="53"/>
      <c r="G1022" s="53"/>
      <c r="H1022" s="1">
        <v>39</v>
      </c>
      <c r="I1022" s="397">
        <v>911</v>
      </c>
      <c r="J1022" s="229">
        <v>3232</v>
      </c>
      <c r="K1022" s="18" t="s">
        <v>808</v>
      </c>
      <c r="L1022" s="130">
        <v>78000</v>
      </c>
      <c r="M1022" s="130">
        <f>78000/7.5345</f>
        <v>10352.379056340831</v>
      </c>
      <c r="N1022" s="131">
        <v>213696</v>
      </c>
      <c r="O1022" s="355">
        <f t="shared" ref="O1022:O1029" si="644">N1022/7.5345</f>
        <v>28362.333266971928</v>
      </c>
      <c r="P1022" s="132">
        <v>12000</v>
      </c>
      <c r="Q1022" s="163">
        <v>4200</v>
      </c>
      <c r="R1022" s="159">
        <v>5158</v>
      </c>
      <c r="S1022" s="165"/>
      <c r="T1022" s="165"/>
      <c r="U1022" s="165"/>
      <c r="V1022" s="200">
        <v>6680</v>
      </c>
      <c r="W1022" s="200">
        <v>6680</v>
      </c>
      <c r="X1022" s="164">
        <v>7800</v>
      </c>
      <c r="Y1022" s="378">
        <v>7900.2</v>
      </c>
      <c r="Z1022" s="378"/>
      <c r="AA1022" s="370" t="e">
        <f t="shared" ca="1" si="626"/>
        <v>#NAME?</v>
      </c>
      <c r="AB1022" s="183"/>
      <c r="AC1022" s="178">
        <v>12000</v>
      </c>
      <c r="AD1022" s="178">
        <v>12000</v>
      </c>
      <c r="AE1022" s="178">
        <f>O1022/M1022*100</f>
        <v>273.96923076923076</v>
      </c>
      <c r="AF1022" s="178">
        <f t="shared" si="643"/>
        <v>42.309636118598384</v>
      </c>
      <c r="AG1022" s="178">
        <f t="shared" si="643"/>
        <v>35</v>
      </c>
      <c r="AH1022" s="178">
        <f>AC1022/Q1022*100</f>
        <v>285.71428571428572</v>
      </c>
      <c r="AI1022" s="183"/>
      <c r="AJ1022" s="378">
        <v>7900.2</v>
      </c>
      <c r="AK1022" s="171">
        <f t="shared" si="617"/>
        <v>129.50756107018225</v>
      </c>
      <c r="AL1022" s="171">
        <f t="shared" si="618"/>
        <v>116.76646706586826</v>
      </c>
      <c r="AM1022" s="171">
        <f t="shared" si="618"/>
        <v>101.28461538461538</v>
      </c>
      <c r="AN1022" s="165"/>
      <c r="AO1022" s="193"/>
      <c r="AP1022" s="193" t="e">
        <f t="shared" ca="1" si="624"/>
        <v>#NAME?</v>
      </c>
      <c r="AQ1022" s="200">
        <v>6297.5</v>
      </c>
      <c r="AR1022" s="204">
        <f t="shared" si="628"/>
        <v>129.50756107018225</v>
      </c>
      <c r="AS1022" s="204">
        <f t="shared" si="629"/>
        <v>100</v>
      </c>
      <c r="AT1022" s="204">
        <f t="shared" si="630"/>
        <v>129.50756107018225</v>
      </c>
      <c r="AU1022" s="204">
        <f t="shared" si="631"/>
        <v>94.273952095808383</v>
      </c>
      <c r="AV1022" s="204">
        <f t="shared" si="632"/>
        <v>122.0918960837534</v>
      </c>
    </row>
    <row r="1023" spans="1:48" ht="12" customHeight="1">
      <c r="A1023" s="53"/>
      <c r="B1023" s="53"/>
      <c r="C1023" s="53"/>
      <c r="D1023" s="53"/>
      <c r="E1023" s="53"/>
      <c r="F1023" s="53"/>
      <c r="G1023" s="53"/>
      <c r="H1023" s="1"/>
      <c r="I1023" s="397">
        <v>911</v>
      </c>
      <c r="J1023" s="229">
        <v>3232</v>
      </c>
      <c r="K1023" s="18" t="s">
        <v>809</v>
      </c>
      <c r="L1023" s="130"/>
      <c r="M1023" s="130"/>
      <c r="N1023" s="131">
        <v>0</v>
      </c>
      <c r="O1023" s="355">
        <f t="shared" si="644"/>
        <v>0</v>
      </c>
      <c r="P1023" s="132"/>
      <c r="Q1023" s="132"/>
      <c r="R1023" s="159"/>
      <c r="S1023" s="165"/>
      <c r="T1023" s="165"/>
      <c r="U1023" s="165"/>
      <c r="V1023" s="200"/>
      <c r="W1023" s="200"/>
      <c r="X1023" s="164"/>
      <c r="Y1023" s="378"/>
      <c r="Z1023" s="378"/>
      <c r="AA1023" s="370" t="e">
        <f t="shared" ca="1" si="626"/>
        <v>#NAME?</v>
      </c>
      <c r="AB1023" s="183"/>
      <c r="AC1023" s="178"/>
      <c r="AD1023" s="178"/>
      <c r="AE1023" s="178"/>
      <c r="AF1023" s="178"/>
      <c r="AG1023" s="178"/>
      <c r="AH1023" s="178"/>
      <c r="AI1023" s="183"/>
      <c r="AJ1023" s="378"/>
      <c r="AK1023" s="171"/>
      <c r="AL1023" s="171"/>
      <c r="AM1023" s="171"/>
      <c r="AN1023" s="165"/>
      <c r="AO1023" s="193"/>
      <c r="AP1023" s="193" t="e">
        <f t="shared" ca="1" si="624"/>
        <v>#NAME?</v>
      </c>
      <c r="AQ1023" s="200"/>
      <c r="AR1023" s="204"/>
      <c r="AS1023" s="204"/>
      <c r="AT1023" s="204"/>
      <c r="AU1023" s="204"/>
      <c r="AV1023" s="204"/>
    </row>
    <row r="1024" spans="1:48" ht="12" customHeight="1">
      <c r="A1024" s="53"/>
      <c r="B1024" s="53"/>
      <c r="C1024" s="53"/>
      <c r="D1024" s="53"/>
      <c r="E1024" s="53"/>
      <c r="F1024" s="53"/>
      <c r="G1024" s="53"/>
      <c r="H1024" s="1"/>
      <c r="I1024" s="397">
        <v>911</v>
      </c>
      <c r="J1024" s="229">
        <v>3233</v>
      </c>
      <c r="K1024" s="18" t="s">
        <v>810</v>
      </c>
      <c r="L1024" s="130">
        <v>0</v>
      </c>
      <c r="M1024" s="130">
        <v>0</v>
      </c>
      <c r="N1024" s="131">
        <v>0</v>
      </c>
      <c r="O1024" s="355">
        <f t="shared" si="644"/>
        <v>0</v>
      </c>
      <c r="P1024" s="132">
        <v>900</v>
      </c>
      <c r="Q1024" s="163">
        <v>1000</v>
      </c>
      <c r="R1024" s="159">
        <v>0</v>
      </c>
      <c r="S1024" s="165"/>
      <c r="T1024" s="165"/>
      <c r="U1024" s="165"/>
      <c r="V1024" s="200">
        <v>1230</v>
      </c>
      <c r="W1024" s="200">
        <v>1230</v>
      </c>
      <c r="X1024" s="164">
        <v>1300</v>
      </c>
      <c r="Y1024" s="378">
        <v>1350.2</v>
      </c>
      <c r="Z1024" s="378"/>
      <c r="AA1024" s="370" t="e">
        <f t="shared" ca="1" si="626"/>
        <v>#NAME?</v>
      </c>
      <c r="AB1024" s="183"/>
      <c r="AC1024" s="178">
        <v>1000</v>
      </c>
      <c r="AD1024" s="178">
        <v>1000</v>
      </c>
      <c r="AE1024" s="178"/>
      <c r="AF1024" s="178"/>
      <c r="AG1024" s="178"/>
      <c r="AH1024" s="178"/>
      <c r="AI1024" s="183"/>
      <c r="AJ1024" s="378">
        <v>1350.2</v>
      </c>
      <c r="AK1024" s="171"/>
      <c r="AL1024" s="171">
        <f t="shared" si="618"/>
        <v>105.6910569105691</v>
      </c>
      <c r="AM1024" s="171">
        <f t="shared" si="618"/>
        <v>103.86153846153847</v>
      </c>
      <c r="AN1024" s="165"/>
      <c r="AO1024" s="193"/>
      <c r="AP1024" s="193" t="e">
        <f t="shared" ca="1" si="624"/>
        <v>#NAME?</v>
      </c>
      <c r="AQ1024" s="200"/>
      <c r="AR1024" s="204"/>
      <c r="AS1024" s="204">
        <f t="shared" si="629"/>
        <v>100</v>
      </c>
      <c r="AT1024" s="204"/>
      <c r="AU1024" s="204">
        <f t="shared" si="631"/>
        <v>0</v>
      </c>
      <c r="AV1024" s="204"/>
    </row>
    <row r="1025" spans="1:48" ht="12" customHeight="1">
      <c r="A1025" s="53"/>
      <c r="B1025" s="53"/>
      <c r="C1025" s="53"/>
      <c r="D1025" s="53"/>
      <c r="E1025" s="53"/>
      <c r="F1025" s="53"/>
      <c r="G1025" s="53"/>
      <c r="H1025" s="1"/>
      <c r="I1025" s="397">
        <v>911</v>
      </c>
      <c r="J1025" s="229">
        <v>3234</v>
      </c>
      <c r="K1025" s="18" t="s">
        <v>250</v>
      </c>
      <c r="L1025" s="130">
        <v>9855</v>
      </c>
      <c r="M1025" s="130">
        <f>9855/7.5345</f>
        <v>1307.9832769261398</v>
      </c>
      <c r="N1025" s="131">
        <v>11660</v>
      </c>
      <c r="O1025" s="355">
        <f t="shared" si="644"/>
        <v>1547.5479461145396</v>
      </c>
      <c r="P1025" s="132">
        <v>2500</v>
      </c>
      <c r="Q1025" s="132">
        <v>2500</v>
      </c>
      <c r="R1025" s="159">
        <v>1688</v>
      </c>
      <c r="S1025" s="165"/>
      <c r="T1025" s="165"/>
      <c r="U1025" s="165"/>
      <c r="V1025" s="200">
        <v>4520</v>
      </c>
      <c r="W1025" s="200">
        <v>4520</v>
      </c>
      <c r="X1025" s="164">
        <v>3500</v>
      </c>
      <c r="Y1025" s="378">
        <v>3600.2</v>
      </c>
      <c r="Z1025" s="378"/>
      <c r="AA1025" s="370" t="e">
        <f t="shared" ca="1" si="626"/>
        <v>#NAME?</v>
      </c>
      <c r="AB1025" s="183"/>
      <c r="AC1025" s="178">
        <v>2500</v>
      </c>
      <c r="AD1025" s="178">
        <v>2500</v>
      </c>
      <c r="AE1025" s="178">
        <f>O1025/M1025*100</f>
        <v>118.31557584982242</v>
      </c>
      <c r="AF1025" s="178">
        <f>P1025/O1025*100</f>
        <v>161.54588336192111</v>
      </c>
      <c r="AG1025" s="178">
        <f>Q1025/P1025*100</f>
        <v>100</v>
      </c>
      <c r="AH1025" s="178">
        <f>AC1025/Q1025*100</f>
        <v>100</v>
      </c>
      <c r="AI1025" s="183"/>
      <c r="AJ1025" s="378">
        <v>3600.2</v>
      </c>
      <c r="AK1025" s="171">
        <f t="shared" si="617"/>
        <v>267.7725118483412</v>
      </c>
      <c r="AL1025" s="171">
        <f t="shared" si="618"/>
        <v>77.43362831858407</v>
      </c>
      <c r="AM1025" s="171">
        <f t="shared" si="618"/>
        <v>102.86285714285714</v>
      </c>
      <c r="AN1025" s="165"/>
      <c r="AO1025" s="193"/>
      <c r="AP1025" s="193" t="e">
        <f t="shared" ca="1" si="624"/>
        <v>#NAME?</v>
      </c>
      <c r="AQ1025" s="200">
        <v>2016.98</v>
      </c>
      <c r="AR1025" s="204">
        <f t="shared" si="628"/>
        <v>267.7725118483412</v>
      </c>
      <c r="AS1025" s="204">
        <f t="shared" si="629"/>
        <v>100</v>
      </c>
      <c r="AT1025" s="204">
        <f t="shared" si="630"/>
        <v>267.7725118483412</v>
      </c>
      <c r="AU1025" s="204">
        <f t="shared" si="631"/>
        <v>44.623451327433628</v>
      </c>
      <c r="AV1025" s="204">
        <f t="shared" si="632"/>
        <v>119.489336492891</v>
      </c>
    </row>
    <row r="1026" spans="1:48" ht="12" customHeight="1">
      <c r="A1026" s="209"/>
      <c r="B1026" s="209"/>
      <c r="C1026" s="209"/>
      <c r="D1026" s="209"/>
      <c r="E1026" s="209"/>
      <c r="F1026" s="209"/>
      <c r="G1026" s="209"/>
      <c r="H1026" s="549" t="s">
        <v>811</v>
      </c>
      <c r="I1026" s="397">
        <v>911</v>
      </c>
      <c r="J1026" s="229">
        <v>3236</v>
      </c>
      <c r="K1026" s="229" t="s">
        <v>812</v>
      </c>
      <c r="L1026" s="130">
        <v>36242</v>
      </c>
      <c r="M1026" s="130">
        <f>36242/7.5345</f>
        <v>4810.1400225628768</v>
      </c>
      <c r="N1026" s="131">
        <v>38422</v>
      </c>
      <c r="O1026" s="355">
        <f t="shared" si="644"/>
        <v>5099.475744906762</v>
      </c>
      <c r="P1026" s="132">
        <v>6000</v>
      </c>
      <c r="Q1026" s="132">
        <v>6000</v>
      </c>
      <c r="R1026" s="159">
        <v>6390</v>
      </c>
      <c r="S1026" s="165"/>
      <c r="T1026" s="165"/>
      <c r="U1026" s="165"/>
      <c r="V1026" s="200">
        <v>6900</v>
      </c>
      <c r="W1026" s="200">
        <v>6900</v>
      </c>
      <c r="X1026" s="164">
        <v>8060</v>
      </c>
      <c r="Y1026" s="378">
        <v>8200.1</v>
      </c>
      <c r="Z1026" s="378"/>
      <c r="AA1026" s="370" t="e">
        <f t="shared" ca="1" si="626"/>
        <v>#NAME?</v>
      </c>
      <c r="AB1026" s="183"/>
      <c r="AC1026" s="178">
        <v>6000</v>
      </c>
      <c r="AD1026" s="178">
        <v>6000</v>
      </c>
      <c r="AE1026" s="178">
        <f>O1026/M1026*100</f>
        <v>106.01512057833453</v>
      </c>
      <c r="AF1026" s="178">
        <f>P1026/O1026*100</f>
        <v>117.65915360991099</v>
      </c>
      <c r="AG1026" s="178">
        <f>Q1026/P1026*100</f>
        <v>100</v>
      </c>
      <c r="AH1026" s="178">
        <f>AC1026/Q1026*100</f>
        <v>100</v>
      </c>
      <c r="AI1026" s="183"/>
      <c r="AJ1026" s="378">
        <v>8200.1</v>
      </c>
      <c r="AK1026" s="171">
        <f t="shared" si="617"/>
        <v>107.98122065727699</v>
      </c>
      <c r="AL1026" s="171">
        <f t="shared" si="618"/>
        <v>116.81159420289855</v>
      </c>
      <c r="AM1026" s="171">
        <f t="shared" si="618"/>
        <v>101.73821339950373</v>
      </c>
      <c r="AN1026" s="165"/>
      <c r="AO1026" s="193"/>
      <c r="AP1026" s="193" t="e">
        <f t="shared" ca="1" si="624"/>
        <v>#NAME?</v>
      </c>
      <c r="AQ1026" s="200">
        <v>6343.05</v>
      </c>
      <c r="AR1026" s="204">
        <f t="shared" si="628"/>
        <v>107.98122065727699</v>
      </c>
      <c r="AS1026" s="204">
        <f t="shared" si="629"/>
        <v>100</v>
      </c>
      <c r="AT1026" s="204">
        <f t="shared" si="630"/>
        <v>107.98122065727699</v>
      </c>
      <c r="AU1026" s="204">
        <f t="shared" si="631"/>
        <v>91.928260869565221</v>
      </c>
      <c r="AV1026" s="204">
        <f t="shared" si="632"/>
        <v>99.265258215962447</v>
      </c>
    </row>
    <row r="1027" spans="1:48" ht="12" customHeight="1">
      <c r="A1027" s="209"/>
      <c r="B1027" s="209"/>
      <c r="C1027" s="209"/>
      <c r="D1027" s="209"/>
      <c r="E1027" s="209"/>
      <c r="F1027" s="209"/>
      <c r="G1027" s="209"/>
      <c r="H1027" s="549"/>
      <c r="I1027" s="397"/>
      <c r="J1027" s="229">
        <v>3237</v>
      </c>
      <c r="K1027" s="229" t="s">
        <v>253</v>
      </c>
      <c r="L1027" s="413">
        <v>650</v>
      </c>
      <c r="M1027" s="413">
        <f>650/7.5345</f>
        <v>86.269825469506927</v>
      </c>
      <c r="N1027" s="414">
        <v>1125</v>
      </c>
      <c r="O1027" s="355">
        <f t="shared" si="644"/>
        <v>149.31315946645429</v>
      </c>
      <c r="P1027" s="415"/>
      <c r="Q1027" s="415"/>
      <c r="R1027" s="421">
        <v>362</v>
      </c>
      <c r="S1027" s="419"/>
      <c r="T1027" s="419"/>
      <c r="U1027" s="419"/>
      <c r="V1027" s="200"/>
      <c r="W1027" s="200"/>
      <c r="X1027" s="422"/>
      <c r="Y1027" s="429"/>
      <c r="Z1027" s="429"/>
      <c r="AA1027" s="370" t="e">
        <f t="shared" ca="1" si="626"/>
        <v>#NAME?</v>
      </c>
      <c r="AB1027" s="430"/>
      <c r="AC1027" s="431"/>
      <c r="AD1027" s="431"/>
      <c r="AE1027" s="178">
        <f>O1027/M1027*100</f>
        <v>173.07692307692309</v>
      </c>
      <c r="AF1027" s="178"/>
      <c r="AG1027" s="178"/>
      <c r="AH1027" s="178"/>
      <c r="AI1027" s="430"/>
      <c r="AJ1027" s="429"/>
      <c r="AK1027" s="171">
        <f t="shared" si="617"/>
        <v>0</v>
      </c>
      <c r="AL1027" s="171"/>
      <c r="AM1027" s="171"/>
      <c r="AN1027" s="419"/>
      <c r="AO1027" s="193"/>
      <c r="AP1027" s="193" t="e">
        <f t="shared" ca="1" si="624"/>
        <v>#NAME?</v>
      </c>
      <c r="AQ1027" s="200">
        <v>585.82000000000005</v>
      </c>
      <c r="AR1027" s="204">
        <f t="shared" si="628"/>
        <v>0</v>
      </c>
      <c r="AS1027" s="204"/>
      <c r="AT1027" s="204">
        <f t="shared" si="630"/>
        <v>0</v>
      </c>
      <c r="AU1027" s="204"/>
      <c r="AV1027" s="204">
        <f t="shared" si="632"/>
        <v>161.82872928176798</v>
      </c>
    </row>
    <row r="1028" spans="1:48" ht="12" customHeight="1">
      <c r="A1028" s="209"/>
      <c r="B1028" s="209"/>
      <c r="C1028" s="209"/>
      <c r="D1028" s="209"/>
      <c r="E1028" s="209"/>
      <c r="F1028" s="209"/>
      <c r="G1028" s="209"/>
      <c r="H1028" s="549"/>
      <c r="I1028" s="397">
        <v>911</v>
      </c>
      <c r="J1028" s="229">
        <v>3238</v>
      </c>
      <c r="K1028" s="229" t="s">
        <v>254</v>
      </c>
      <c r="L1028" s="413">
        <v>17499</v>
      </c>
      <c r="M1028" s="413">
        <f>17499/7.5345</f>
        <v>2322.5164244475413</v>
      </c>
      <c r="N1028" s="414">
        <v>11313</v>
      </c>
      <c r="O1028" s="355">
        <f t="shared" si="644"/>
        <v>1501.4931315946644</v>
      </c>
      <c r="P1028" s="415">
        <v>2100</v>
      </c>
      <c r="Q1028" s="500">
        <v>3400</v>
      </c>
      <c r="R1028" s="421">
        <v>3360</v>
      </c>
      <c r="S1028" s="419"/>
      <c r="T1028" s="419"/>
      <c r="U1028" s="419"/>
      <c r="V1028" s="200">
        <v>4529.92</v>
      </c>
      <c r="W1028" s="200">
        <v>4529.92</v>
      </c>
      <c r="X1028" s="422">
        <v>4530</v>
      </c>
      <c r="Y1028" s="429">
        <v>5900</v>
      </c>
      <c r="Z1028" s="429"/>
      <c r="AA1028" s="370" t="e">
        <f t="shared" ca="1" si="626"/>
        <v>#NAME?</v>
      </c>
      <c r="AB1028" s="430"/>
      <c r="AC1028" s="431">
        <v>2200</v>
      </c>
      <c r="AD1028" s="431">
        <v>2200</v>
      </c>
      <c r="AE1028" s="178">
        <f>O1028/M1028*100</f>
        <v>64.64940853763072</v>
      </c>
      <c r="AF1028" s="178">
        <f>P1028/O1028*100</f>
        <v>139.86077963404932</v>
      </c>
      <c r="AG1028" s="178">
        <f>Q1028/P1028*100</f>
        <v>161.9047619047619</v>
      </c>
      <c r="AH1028" s="178">
        <f>AC1028/Q1028*100</f>
        <v>64.705882352941174</v>
      </c>
      <c r="AI1028" s="430"/>
      <c r="AJ1028" s="429">
        <v>5900</v>
      </c>
      <c r="AK1028" s="171">
        <f t="shared" si="617"/>
        <v>134.81904761904761</v>
      </c>
      <c r="AL1028" s="171">
        <f t="shared" si="618"/>
        <v>100.00176603560327</v>
      </c>
      <c r="AM1028" s="171">
        <f t="shared" si="618"/>
        <v>130.24282560706402</v>
      </c>
      <c r="AN1028" s="419"/>
      <c r="AO1028" s="193"/>
      <c r="AP1028" s="193" t="e">
        <f t="shared" ca="1" si="624"/>
        <v>#NAME?</v>
      </c>
      <c r="AQ1028" s="200">
        <v>3922.9</v>
      </c>
      <c r="AR1028" s="204">
        <f t="shared" si="628"/>
        <v>134.81904761904761</v>
      </c>
      <c r="AS1028" s="204">
        <f t="shared" si="629"/>
        <v>100</v>
      </c>
      <c r="AT1028" s="204">
        <f t="shared" si="630"/>
        <v>134.81904761904761</v>
      </c>
      <c r="AU1028" s="204">
        <f t="shared" si="631"/>
        <v>86.599763351229171</v>
      </c>
      <c r="AV1028" s="204">
        <f t="shared" si="632"/>
        <v>116.7529761904762</v>
      </c>
    </row>
    <row r="1029" spans="1:48" ht="12" customHeight="1">
      <c r="A1029" s="209"/>
      <c r="B1029" s="209"/>
      <c r="C1029" s="209"/>
      <c r="D1029" s="209"/>
      <c r="E1029" s="209"/>
      <c r="F1029" s="209"/>
      <c r="G1029" s="209"/>
      <c r="H1029" s="549"/>
      <c r="I1029" s="397">
        <v>911</v>
      </c>
      <c r="J1029" s="229">
        <v>3239</v>
      </c>
      <c r="K1029" s="229" t="s">
        <v>255</v>
      </c>
      <c r="L1029" s="413">
        <v>11459</v>
      </c>
      <c r="M1029" s="413">
        <f>11459/7.5345</f>
        <v>1520.8706616231998</v>
      </c>
      <c r="N1029" s="414">
        <v>9254</v>
      </c>
      <c r="O1029" s="355">
        <f t="shared" si="644"/>
        <v>1228.2168690689493</v>
      </c>
      <c r="P1029" s="415">
        <v>2000</v>
      </c>
      <c r="Q1029" s="415">
        <v>2000</v>
      </c>
      <c r="R1029" s="421">
        <v>3238</v>
      </c>
      <c r="S1029" s="419"/>
      <c r="T1029" s="419"/>
      <c r="U1029" s="419"/>
      <c r="V1029" s="200">
        <v>2540</v>
      </c>
      <c r="W1029" s="200">
        <v>2540</v>
      </c>
      <c r="X1029" s="422">
        <v>3500</v>
      </c>
      <c r="Y1029" s="429">
        <v>3900</v>
      </c>
      <c r="Z1029" s="429"/>
      <c r="AA1029" s="370" t="e">
        <f t="shared" ca="1" si="626"/>
        <v>#NAME?</v>
      </c>
      <c r="AB1029" s="430"/>
      <c r="AC1029" s="431">
        <v>2300</v>
      </c>
      <c r="AD1029" s="431">
        <v>2300</v>
      </c>
      <c r="AE1029" s="178">
        <f>O1029/M1029*100</f>
        <v>80.757483200977404</v>
      </c>
      <c r="AF1029" s="178">
        <f>P1029/O1029*100</f>
        <v>162.83769180894748</v>
      </c>
      <c r="AG1029" s="178">
        <f>Q1029/P1029*100</f>
        <v>100</v>
      </c>
      <c r="AH1029" s="178">
        <f>AC1029/Q1029*100</f>
        <v>114.99999999999999</v>
      </c>
      <c r="AI1029" s="430"/>
      <c r="AJ1029" s="429">
        <v>3900</v>
      </c>
      <c r="AK1029" s="171">
        <f t="shared" si="617"/>
        <v>78.44348363187153</v>
      </c>
      <c r="AL1029" s="171">
        <f t="shared" si="618"/>
        <v>137.79527559055117</v>
      </c>
      <c r="AM1029" s="171">
        <f t="shared" si="618"/>
        <v>111.42857142857143</v>
      </c>
      <c r="AN1029" s="419"/>
      <c r="AO1029" s="193"/>
      <c r="AP1029" s="193" t="e">
        <f t="shared" ca="1" si="624"/>
        <v>#NAME?</v>
      </c>
      <c r="AQ1029" s="200">
        <v>13691.09</v>
      </c>
      <c r="AR1029" s="204">
        <f t="shared" si="628"/>
        <v>78.44348363187153</v>
      </c>
      <c r="AS1029" s="204">
        <f t="shared" si="629"/>
        <v>100</v>
      </c>
      <c r="AT1029" s="204">
        <f t="shared" si="630"/>
        <v>78.44348363187153</v>
      </c>
      <c r="AU1029" s="204">
        <f t="shared" si="631"/>
        <v>539.01929133858266</v>
      </c>
      <c r="AV1029" s="204">
        <f t="shared" si="632"/>
        <v>422.82550957381096</v>
      </c>
    </row>
    <row r="1030" spans="1:48" ht="12" customHeight="1">
      <c r="A1030" s="209"/>
      <c r="B1030" s="209"/>
      <c r="C1030" s="209"/>
      <c r="D1030" s="209"/>
      <c r="E1030" s="209"/>
      <c r="F1030" s="209"/>
      <c r="G1030" s="209"/>
      <c r="H1030" s="549"/>
      <c r="I1030" s="397"/>
      <c r="J1030" s="18"/>
      <c r="K1030" s="229"/>
      <c r="L1030" s="413"/>
      <c r="M1030" s="413"/>
      <c r="N1030" s="414"/>
      <c r="O1030" s="414"/>
      <c r="P1030" s="415"/>
      <c r="Q1030" s="415"/>
      <c r="R1030" s="421"/>
      <c r="S1030" s="419"/>
      <c r="T1030" s="419"/>
      <c r="U1030" s="419"/>
      <c r="V1030" s="200"/>
      <c r="W1030" s="200"/>
      <c r="X1030" s="422"/>
      <c r="Y1030" s="429"/>
      <c r="Z1030" s="429"/>
      <c r="AA1030" s="370" t="e">
        <f t="shared" ca="1" si="626"/>
        <v>#NAME?</v>
      </c>
      <c r="AB1030" s="430"/>
      <c r="AC1030" s="431"/>
      <c r="AD1030" s="431"/>
      <c r="AE1030" s="178"/>
      <c r="AF1030" s="178"/>
      <c r="AG1030" s="178"/>
      <c r="AH1030" s="178"/>
      <c r="AI1030" s="430"/>
      <c r="AJ1030" s="429"/>
      <c r="AK1030" s="171"/>
      <c r="AL1030" s="171"/>
      <c r="AM1030" s="171"/>
      <c r="AN1030" s="419"/>
      <c r="AO1030" s="193"/>
      <c r="AP1030" s="193" t="e">
        <f t="shared" ca="1" si="624"/>
        <v>#NAME?</v>
      </c>
      <c r="AQ1030" s="200"/>
      <c r="AR1030" s="204"/>
      <c r="AS1030" s="204"/>
      <c r="AT1030" s="204"/>
      <c r="AU1030" s="204"/>
      <c r="AV1030" s="204"/>
    </row>
    <row r="1031" spans="1:48" ht="12" customHeight="1">
      <c r="A1031" s="473"/>
      <c r="B1031" s="473"/>
      <c r="C1031" s="473"/>
      <c r="D1031" s="473"/>
      <c r="E1031" s="473"/>
      <c r="F1031" s="473"/>
      <c r="G1031" s="473"/>
      <c r="H1031" s="550"/>
      <c r="I1031" s="464"/>
      <c r="J1031" s="303">
        <v>324</v>
      </c>
      <c r="K1031" s="303" t="s">
        <v>360</v>
      </c>
      <c r="L1031" s="335">
        <f t="shared" ref="L1031:Z1031" si="645">L1032</f>
        <v>0</v>
      </c>
      <c r="M1031" s="335">
        <f t="shared" si="645"/>
        <v>0</v>
      </c>
      <c r="N1031" s="336">
        <f t="shared" si="645"/>
        <v>0</v>
      </c>
      <c r="O1031" s="336">
        <f t="shared" si="645"/>
        <v>0</v>
      </c>
      <c r="P1031" s="337">
        <f t="shared" si="645"/>
        <v>0</v>
      </c>
      <c r="Q1031" s="337">
        <f t="shared" si="645"/>
        <v>0</v>
      </c>
      <c r="R1031" s="359">
        <f t="shared" si="645"/>
        <v>0</v>
      </c>
      <c r="S1031" s="360">
        <f t="shared" si="645"/>
        <v>0</v>
      </c>
      <c r="T1031" s="360"/>
      <c r="U1031" s="360"/>
      <c r="V1031" s="200">
        <f>V1032</f>
        <v>0</v>
      </c>
      <c r="W1031" s="200">
        <f t="shared" si="645"/>
        <v>0</v>
      </c>
      <c r="X1031" s="359">
        <f t="shared" si="645"/>
        <v>0</v>
      </c>
      <c r="Y1031" s="371">
        <f t="shared" si="645"/>
        <v>0</v>
      </c>
      <c r="Z1031" s="371">
        <f t="shared" si="645"/>
        <v>0</v>
      </c>
      <c r="AA1031" s="370" t="e">
        <f t="shared" ca="1" si="626"/>
        <v>#NAME?</v>
      </c>
      <c r="AB1031" s="371"/>
      <c r="AC1031" s="372">
        <f>AC1032</f>
        <v>0</v>
      </c>
      <c r="AD1031" s="372">
        <f>AD1032</f>
        <v>0</v>
      </c>
      <c r="AE1031" s="178"/>
      <c r="AF1031" s="178"/>
      <c r="AG1031" s="178"/>
      <c r="AH1031" s="178"/>
      <c r="AI1031" s="371"/>
      <c r="AJ1031" s="371">
        <v>0</v>
      </c>
      <c r="AK1031" s="171"/>
      <c r="AL1031" s="171"/>
      <c r="AM1031" s="171"/>
      <c r="AN1031" s="360"/>
      <c r="AO1031" s="193"/>
      <c r="AP1031" s="193" t="e">
        <f t="shared" ca="1" si="624"/>
        <v>#NAME?</v>
      </c>
      <c r="AQ1031" s="200">
        <f>AQ1032</f>
        <v>0</v>
      </c>
      <c r="AR1031" s="204"/>
      <c r="AS1031" s="204"/>
      <c r="AT1031" s="204"/>
      <c r="AU1031" s="204"/>
      <c r="AV1031" s="204"/>
    </row>
    <row r="1032" spans="1:48" ht="12" customHeight="1">
      <c r="A1032" s="209"/>
      <c r="B1032" s="209"/>
      <c r="C1032" s="209"/>
      <c r="D1032" s="209"/>
      <c r="E1032" s="209"/>
      <c r="F1032" s="209"/>
      <c r="G1032" s="209"/>
      <c r="H1032" s="549"/>
      <c r="I1032" s="397"/>
      <c r="J1032" s="229">
        <v>3241</v>
      </c>
      <c r="K1032" s="229" t="s">
        <v>813</v>
      </c>
      <c r="L1032" s="413"/>
      <c r="M1032" s="413"/>
      <c r="N1032" s="414"/>
      <c r="O1032" s="414"/>
      <c r="P1032" s="415"/>
      <c r="Q1032" s="415"/>
      <c r="R1032" s="421"/>
      <c r="S1032" s="419"/>
      <c r="T1032" s="419"/>
      <c r="U1032" s="419"/>
      <c r="V1032" s="200"/>
      <c r="W1032" s="200"/>
      <c r="X1032" s="422"/>
      <c r="Y1032" s="429"/>
      <c r="Z1032" s="429"/>
      <c r="AA1032" s="370" t="e">
        <f t="shared" ca="1" si="626"/>
        <v>#NAME?</v>
      </c>
      <c r="AB1032" s="430"/>
      <c r="AC1032" s="431"/>
      <c r="AD1032" s="431"/>
      <c r="AE1032" s="178"/>
      <c r="AF1032" s="178"/>
      <c r="AG1032" s="178"/>
      <c r="AH1032" s="178"/>
      <c r="AI1032" s="430"/>
      <c r="AJ1032" s="429"/>
      <c r="AK1032" s="171"/>
      <c r="AL1032" s="171"/>
      <c r="AM1032" s="171"/>
      <c r="AN1032" s="419"/>
      <c r="AO1032" s="193"/>
      <c r="AP1032" s="193" t="e">
        <f t="shared" ca="1" si="624"/>
        <v>#NAME?</v>
      </c>
      <c r="AQ1032" s="200"/>
      <c r="AR1032" s="204"/>
      <c r="AS1032" s="204"/>
      <c r="AT1032" s="204"/>
      <c r="AU1032" s="204"/>
      <c r="AV1032" s="204"/>
    </row>
    <row r="1033" spans="1:48" ht="12" customHeight="1">
      <c r="A1033" s="209"/>
      <c r="B1033" s="209"/>
      <c r="C1033" s="209"/>
      <c r="D1033" s="209"/>
      <c r="E1033" s="209"/>
      <c r="F1033" s="209"/>
      <c r="G1033" s="209"/>
      <c r="H1033" s="549"/>
      <c r="I1033" s="397"/>
      <c r="J1033" s="18"/>
      <c r="K1033" s="229"/>
      <c r="L1033" s="413"/>
      <c r="M1033" s="413"/>
      <c r="N1033" s="414"/>
      <c r="O1033" s="414"/>
      <c r="P1033" s="415"/>
      <c r="Q1033" s="415"/>
      <c r="R1033" s="421"/>
      <c r="S1033" s="419"/>
      <c r="T1033" s="419"/>
      <c r="U1033" s="419"/>
      <c r="V1033" s="200"/>
      <c r="W1033" s="200"/>
      <c r="X1033" s="422"/>
      <c r="Y1033" s="429"/>
      <c r="Z1033" s="429"/>
      <c r="AA1033" s="370" t="e">
        <f t="shared" ca="1" si="626"/>
        <v>#NAME?</v>
      </c>
      <c r="AB1033" s="430"/>
      <c r="AC1033" s="431"/>
      <c r="AD1033" s="431"/>
      <c r="AE1033" s="178"/>
      <c r="AF1033" s="178"/>
      <c r="AG1033" s="178"/>
      <c r="AH1033" s="178"/>
      <c r="AI1033" s="430"/>
      <c r="AJ1033" s="429"/>
      <c r="AK1033" s="171"/>
      <c r="AL1033" s="171"/>
      <c r="AM1033" s="171"/>
      <c r="AN1033" s="419"/>
      <c r="AO1033" s="193"/>
      <c r="AP1033" s="193" t="e">
        <f t="shared" ca="1" si="624"/>
        <v>#NAME?</v>
      </c>
      <c r="AQ1033" s="200"/>
      <c r="AR1033" s="204"/>
      <c r="AS1033" s="204"/>
      <c r="AT1033" s="204"/>
      <c r="AU1033" s="204"/>
      <c r="AV1033" s="204"/>
    </row>
    <row r="1034" spans="1:48" ht="12" customHeight="1">
      <c r="A1034" s="42"/>
      <c r="B1034" s="42"/>
      <c r="C1034" s="42"/>
      <c r="D1034" s="42"/>
      <c r="E1034" s="42"/>
      <c r="F1034" s="42"/>
      <c r="G1034" s="42"/>
      <c r="H1034" s="308"/>
      <c r="I1034" s="14"/>
      <c r="J1034" s="2"/>
      <c r="K1034" s="84"/>
      <c r="L1034" s="85">
        <v>1</v>
      </c>
      <c r="M1034" s="85">
        <v>2</v>
      </c>
      <c r="N1034" s="86">
        <v>3</v>
      </c>
      <c r="O1034" s="86">
        <v>4</v>
      </c>
      <c r="P1034" s="87">
        <v>5</v>
      </c>
      <c r="Q1034" s="87">
        <v>6</v>
      </c>
      <c r="R1034" s="160"/>
      <c r="S1034" s="161"/>
      <c r="T1034" s="161"/>
      <c r="U1034" s="161"/>
      <c r="V1034" s="200"/>
      <c r="W1034" s="200"/>
      <c r="X1034" s="361"/>
      <c r="Y1034" s="373"/>
      <c r="Z1034" s="373"/>
      <c r="AA1034" s="370" t="e">
        <f t="shared" ca="1" si="626"/>
        <v>#NAME?</v>
      </c>
      <c r="AB1034" s="181"/>
      <c r="AC1034" s="182">
        <v>7</v>
      </c>
      <c r="AD1034" s="182">
        <v>8</v>
      </c>
      <c r="AE1034" s="182">
        <v>9</v>
      </c>
      <c r="AF1034" s="182">
        <v>10</v>
      </c>
      <c r="AG1034" s="182">
        <v>11</v>
      </c>
      <c r="AH1034" s="182">
        <v>12</v>
      </c>
      <c r="AI1034" s="181"/>
      <c r="AJ1034" s="373"/>
      <c r="AK1034" s="171"/>
      <c r="AL1034" s="171"/>
      <c r="AM1034" s="171"/>
      <c r="AN1034" s="161"/>
      <c r="AO1034" s="193"/>
      <c r="AP1034" s="193" t="e">
        <f t="shared" ca="1" si="624"/>
        <v>#NAME?</v>
      </c>
      <c r="AQ1034" s="200"/>
      <c r="AR1034" s="204"/>
      <c r="AS1034" s="204"/>
      <c r="AT1034" s="204"/>
      <c r="AU1034" s="204"/>
      <c r="AV1034" s="204"/>
    </row>
    <row r="1035" spans="1:48" ht="12" customHeight="1">
      <c r="A1035" s="62"/>
      <c r="B1035" s="62"/>
      <c r="C1035" s="62"/>
      <c r="D1035" s="62"/>
      <c r="E1035" s="62"/>
      <c r="F1035" s="62"/>
      <c r="G1035" s="62"/>
      <c r="H1035" s="532"/>
      <c r="I1035" s="545"/>
      <c r="J1035" s="535">
        <v>329</v>
      </c>
      <c r="K1035" s="310" t="s">
        <v>814</v>
      </c>
      <c r="L1035" s="311">
        <f t="shared" ref="L1035:S1035" si="646">L1036+L1037+L1038+L1039+L1040</f>
        <v>10997</v>
      </c>
      <c r="M1035" s="311">
        <f t="shared" si="646"/>
        <v>1459.5527241356426</v>
      </c>
      <c r="N1035" s="312">
        <f t="shared" si="646"/>
        <v>14426</v>
      </c>
      <c r="O1035" s="312">
        <f t="shared" si="646"/>
        <v>1914.6592341893952</v>
      </c>
      <c r="P1035" s="313">
        <f t="shared" si="646"/>
        <v>4500</v>
      </c>
      <c r="Q1035" s="313">
        <f t="shared" si="646"/>
        <v>6000</v>
      </c>
      <c r="R1035" s="96">
        <f t="shared" si="646"/>
        <v>4256</v>
      </c>
      <c r="S1035" s="98">
        <f t="shared" si="646"/>
        <v>0</v>
      </c>
      <c r="T1035" s="98"/>
      <c r="U1035" s="98"/>
      <c r="V1035" s="200">
        <f>V1036+V1037+V1038+V1039+V1040</f>
        <v>8770.25</v>
      </c>
      <c r="W1035" s="200">
        <f>W1036+W1037+W1038+W1039+W1040</f>
        <v>8770.25</v>
      </c>
      <c r="X1035" s="96">
        <f>X1036+X1037+X1038+X1039+X1040</f>
        <v>9450</v>
      </c>
      <c r="Y1035" s="173">
        <f>Y1036+Y1037+Y1038+Y1039+Y1040</f>
        <v>9800.2999999999993</v>
      </c>
      <c r="Z1035" s="173">
        <f>Z1036+Z1037+Z1038+Z1039+Z1040</f>
        <v>0</v>
      </c>
      <c r="AA1035" s="370" t="e">
        <f t="shared" ca="1" si="626"/>
        <v>#NAME?</v>
      </c>
      <c r="AB1035" s="173"/>
      <c r="AC1035" s="174">
        <f>AC1036+AC1037+AC1038+AC1039+AC1040</f>
        <v>4700</v>
      </c>
      <c r="AD1035" s="174">
        <f>AD1036+AD1037+AD1038+AD1039+AD1040</f>
        <v>4700</v>
      </c>
      <c r="AE1035" s="178">
        <f>O1035/M1035*100</f>
        <v>131.18123124488497</v>
      </c>
      <c r="AF1035" s="178">
        <f t="shared" ref="AF1035:AG1037" si="647">P1035/O1035*100</f>
        <v>235.02876750311938</v>
      </c>
      <c r="AG1035" s="178">
        <f t="shared" si="647"/>
        <v>133.33333333333331</v>
      </c>
      <c r="AH1035" s="178">
        <f>AC1035/Q1035*100</f>
        <v>78.333333333333329</v>
      </c>
      <c r="AI1035" s="173"/>
      <c r="AJ1035" s="173">
        <v>9800.2999999999993</v>
      </c>
      <c r="AK1035" s="171">
        <f t="shared" si="617"/>
        <v>206.06790413533832</v>
      </c>
      <c r="AL1035" s="171">
        <f t="shared" si="618"/>
        <v>107.75063424645819</v>
      </c>
      <c r="AM1035" s="171">
        <f t="shared" si="618"/>
        <v>103.70687830687831</v>
      </c>
      <c r="AN1035" s="98"/>
      <c r="AO1035" s="193"/>
      <c r="AP1035" s="193" t="e">
        <f t="shared" ca="1" si="624"/>
        <v>#NAME?</v>
      </c>
      <c r="AQ1035" s="200">
        <f>AQ1036+AQ1037+AQ1038+AQ1039+AQ1040</f>
        <v>4243.93</v>
      </c>
      <c r="AR1035" s="204">
        <f t="shared" si="628"/>
        <v>206.06790413533832</v>
      </c>
      <c r="AS1035" s="204">
        <f t="shared" si="629"/>
        <v>100</v>
      </c>
      <c r="AT1035" s="204">
        <f t="shared" si="630"/>
        <v>206.06790413533832</v>
      </c>
      <c r="AU1035" s="204">
        <f t="shared" si="631"/>
        <v>48.390068698155702</v>
      </c>
      <c r="AV1035" s="204">
        <f t="shared" si="632"/>
        <v>99.716400375939855</v>
      </c>
    </row>
    <row r="1036" spans="1:48" ht="12" customHeight="1">
      <c r="A1036" s="53"/>
      <c r="B1036" s="53"/>
      <c r="C1036" s="53"/>
      <c r="D1036" s="53"/>
      <c r="E1036" s="53"/>
      <c r="F1036" s="53"/>
      <c r="G1036" s="53"/>
      <c r="H1036" s="309"/>
      <c r="I1036" s="543">
        <v>911</v>
      </c>
      <c r="J1036" s="352">
        <v>3292</v>
      </c>
      <c r="K1036" s="353" t="s">
        <v>259</v>
      </c>
      <c r="L1036" s="354">
        <v>9039</v>
      </c>
      <c r="M1036" s="354">
        <f>9039/7.5345</f>
        <v>1199.6814652598048</v>
      </c>
      <c r="N1036" s="355">
        <v>11071</v>
      </c>
      <c r="O1036" s="355">
        <f>N1036/7.5345</f>
        <v>1469.3742119583248</v>
      </c>
      <c r="P1036" s="356">
        <v>2700</v>
      </c>
      <c r="Q1036" s="356">
        <v>2700</v>
      </c>
      <c r="R1036" s="363">
        <v>1450</v>
      </c>
      <c r="S1036" s="364"/>
      <c r="T1036" s="364"/>
      <c r="U1036" s="364"/>
      <c r="V1036" s="200">
        <v>3120</v>
      </c>
      <c r="W1036" s="200">
        <v>3120</v>
      </c>
      <c r="X1036" s="365">
        <v>3100</v>
      </c>
      <c r="Y1036" s="382">
        <v>3200</v>
      </c>
      <c r="Z1036" s="382"/>
      <c r="AA1036" s="370" t="e">
        <f t="shared" ca="1" si="626"/>
        <v>#NAME?</v>
      </c>
      <c r="AB1036" s="383"/>
      <c r="AC1036" s="366">
        <v>2800</v>
      </c>
      <c r="AD1036" s="366">
        <v>2800</v>
      </c>
      <c r="AE1036" s="178">
        <f>O1036/M1036*100</f>
        <v>122.48036287199911</v>
      </c>
      <c r="AF1036" s="178">
        <f t="shared" si="647"/>
        <v>183.75169361394637</v>
      </c>
      <c r="AG1036" s="178">
        <f t="shared" si="647"/>
        <v>100</v>
      </c>
      <c r="AH1036" s="178">
        <f>AC1036/Q1036*100</f>
        <v>103.7037037037037</v>
      </c>
      <c r="AI1036" s="383"/>
      <c r="AJ1036" s="382">
        <v>3200</v>
      </c>
      <c r="AK1036" s="171">
        <f t="shared" si="617"/>
        <v>215.17241379310343</v>
      </c>
      <c r="AL1036" s="171">
        <f t="shared" si="618"/>
        <v>99.358974358974365</v>
      </c>
      <c r="AM1036" s="171">
        <f t="shared" si="618"/>
        <v>103.2258064516129</v>
      </c>
      <c r="AN1036" s="364"/>
      <c r="AO1036" s="193"/>
      <c r="AP1036" s="193" t="e">
        <f t="shared" ca="1" si="624"/>
        <v>#NAME?</v>
      </c>
      <c r="AQ1036" s="200">
        <v>2213.86</v>
      </c>
      <c r="AR1036" s="204">
        <f t="shared" si="628"/>
        <v>215.17241379310343</v>
      </c>
      <c r="AS1036" s="204">
        <f t="shared" si="629"/>
        <v>100</v>
      </c>
      <c r="AT1036" s="204">
        <f t="shared" si="630"/>
        <v>215.17241379310343</v>
      </c>
      <c r="AU1036" s="204">
        <f t="shared" si="631"/>
        <v>70.957051282051282</v>
      </c>
      <c r="AV1036" s="204">
        <f t="shared" si="632"/>
        <v>152.68</v>
      </c>
    </row>
    <row r="1037" spans="1:48" ht="12" customHeight="1">
      <c r="A1037" s="53"/>
      <c r="B1037" s="53"/>
      <c r="C1037" s="53"/>
      <c r="D1037" s="53"/>
      <c r="E1037" s="53"/>
      <c r="F1037" s="53"/>
      <c r="G1037" s="53"/>
      <c r="H1037" s="1"/>
      <c r="I1037" s="397">
        <v>911</v>
      </c>
      <c r="J1037" s="229">
        <v>3293</v>
      </c>
      <c r="K1037" s="18" t="s">
        <v>260</v>
      </c>
      <c r="L1037" s="130">
        <v>1958</v>
      </c>
      <c r="M1037" s="130">
        <f>1958/7.5345</f>
        <v>259.87125887583778</v>
      </c>
      <c r="N1037" s="131">
        <v>1438</v>
      </c>
      <c r="O1037" s="355">
        <f>N1037/7.5345</f>
        <v>190.85539850023224</v>
      </c>
      <c r="P1037" s="132">
        <v>500</v>
      </c>
      <c r="Q1037" s="163">
        <v>2000</v>
      </c>
      <c r="R1037" s="159">
        <v>2680</v>
      </c>
      <c r="S1037" s="165"/>
      <c r="T1037" s="165"/>
      <c r="U1037" s="165"/>
      <c r="V1037" s="200">
        <v>4200</v>
      </c>
      <c r="W1037" s="200">
        <v>4200</v>
      </c>
      <c r="X1037" s="164">
        <v>4900</v>
      </c>
      <c r="Y1037" s="378">
        <v>4900</v>
      </c>
      <c r="Z1037" s="378"/>
      <c r="AA1037" s="370" t="e">
        <f t="shared" ca="1" si="626"/>
        <v>#NAME?</v>
      </c>
      <c r="AB1037" s="183"/>
      <c r="AC1037" s="178">
        <v>500</v>
      </c>
      <c r="AD1037" s="178">
        <v>500</v>
      </c>
      <c r="AE1037" s="178">
        <f>O1037/M1037*100</f>
        <v>73.442288049029628</v>
      </c>
      <c r="AF1037" s="178">
        <f t="shared" si="647"/>
        <v>261.97844228094579</v>
      </c>
      <c r="AG1037" s="178">
        <f t="shared" si="647"/>
        <v>400</v>
      </c>
      <c r="AH1037" s="178">
        <f>AC1037/Q1037*100</f>
        <v>25</v>
      </c>
      <c r="AI1037" s="183"/>
      <c r="AJ1037" s="378">
        <v>4900</v>
      </c>
      <c r="AK1037" s="171">
        <f t="shared" si="617"/>
        <v>156.71641791044777</v>
      </c>
      <c r="AL1037" s="171">
        <f t="shared" si="618"/>
        <v>116.66666666666667</v>
      </c>
      <c r="AM1037" s="171">
        <f t="shared" si="618"/>
        <v>100</v>
      </c>
      <c r="AN1037" s="165"/>
      <c r="AO1037" s="193"/>
      <c r="AP1037" s="193" t="e">
        <f t="shared" ca="1" si="624"/>
        <v>#NAME?</v>
      </c>
      <c r="AQ1037" s="200">
        <v>2030.07</v>
      </c>
      <c r="AR1037" s="204">
        <f t="shared" si="628"/>
        <v>156.71641791044777</v>
      </c>
      <c r="AS1037" s="204">
        <f t="shared" si="629"/>
        <v>100</v>
      </c>
      <c r="AT1037" s="204">
        <f t="shared" si="630"/>
        <v>156.71641791044777</v>
      </c>
      <c r="AU1037" s="204">
        <f t="shared" si="631"/>
        <v>48.335000000000001</v>
      </c>
      <c r="AV1037" s="204">
        <f t="shared" si="632"/>
        <v>75.748880597014917</v>
      </c>
    </row>
    <row r="1038" spans="1:48" ht="12" customHeight="1">
      <c r="A1038" s="53"/>
      <c r="B1038" s="53"/>
      <c r="C1038" s="53"/>
      <c r="D1038" s="53"/>
      <c r="E1038" s="53"/>
      <c r="F1038" s="53"/>
      <c r="G1038" s="53"/>
      <c r="H1038" s="1"/>
      <c r="I1038" s="397">
        <v>911</v>
      </c>
      <c r="J1038" s="229">
        <v>3294</v>
      </c>
      <c r="K1038" s="18" t="s">
        <v>261</v>
      </c>
      <c r="L1038" s="130">
        <v>0</v>
      </c>
      <c r="M1038" s="130">
        <v>0</v>
      </c>
      <c r="N1038" s="131">
        <v>0</v>
      </c>
      <c r="O1038" s="355">
        <f>N1038/7.5345</f>
        <v>0</v>
      </c>
      <c r="P1038" s="132">
        <v>200</v>
      </c>
      <c r="Q1038" s="132">
        <v>200</v>
      </c>
      <c r="R1038" s="159">
        <v>0</v>
      </c>
      <c r="S1038" s="165"/>
      <c r="T1038" s="165"/>
      <c r="U1038" s="165"/>
      <c r="V1038" s="200">
        <v>300</v>
      </c>
      <c r="W1038" s="200">
        <v>300</v>
      </c>
      <c r="X1038" s="164">
        <v>300</v>
      </c>
      <c r="Y1038" s="378">
        <v>300</v>
      </c>
      <c r="Z1038" s="378"/>
      <c r="AA1038" s="370" t="e">
        <f t="shared" ca="1" si="626"/>
        <v>#NAME?</v>
      </c>
      <c r="AB1038" s="183"/>
      <c r="AC1038" s="178">
        <v>200</v>
      </c>
      <c r="AD1038" s="178">
        <v>200</v>
      </c>
      <c r="AE1038" s="178"/>
      <c r="AF1038" s="178"/>
      <c r="AG1038" s="178"/>
      <c r="AH1038" s="178"/>
      <c r="AI1038" s="183"/>
      <c r="AJ1038" s="378">
        <v>300</v>
      </c>
      <c r="AK1038" s="171"/>
      <c r="AL1038" s="171">
        <f t="shared" si="618"/>
        <v>100</v>
      </c>
      <c r="AM1038" s="171">
        <f t="shared" si="618"/>
        <v>100</v>
      </c>
      <c r="AN1038" s="165"/>
      <c r="AO1038" s="193"/>
      <c r="AP1038" s="193" t="e">
        <f t="shared" ca="1" si="624"/>
        <v>#NAME?</v>
      </c>
      <c r="AQ1038" s="200"/>
      <c r="AR1038" s="204"/>
      <c r="AS1038" s="204">
        <f t="shared" si="629"/>
        <v>100</v>
      </c>
      <c r="AT1038" s="204"/>
      <c r="AU1038" s="204">
        <f t="shared" si="631"/>
        <v>0</v>
      </c>
      <c r="AV1038" s="204"/>
    </row>
    <row r="1039" spans="1:48" ht="12" customHeight="1">
      <c r="A1039" s="53"/>
      <c r="B1039" s="53"/>
      <c r="C1039" s="53"/>
      <c r="D1039" s="53"/>
      <c r="E1039" s="53"/>
      <c r="F1039" s="53"/>
      <c r="G1039" s="53"/>
      <c r="H1039" s="1"/>
      <c r="I1039" s="397"/>
      <c r="J1039" s="229">
        <v>3295</v>
      </c>
      <c r="K1039" s="18" t="s">
        <v>262</v>
      </c>
      <c r="L1039" s="130"/>
      <c r="M1039" s="130"/>
      <c r="N1039" s="131">
        <v>0</v>
      </c>
      <c r="O1039" s="355">
        <f>N1039/7.5345</f>
        <v>0</v>
      </c>
      <c r="P1039" s="132"/>
      <c r="Q1039" s="132"/>
      <c r="R1039" s="159">
        <v>0</v>
      </c>
      <c r="S1039" s="165"/>
      <c r="T1039" s="165"/>
      <c r="U1039" s="165"/>
      <c r="V1039" s="200"/>
      <c r="W1039" s="200"/>
      <c r="X1039" s="164"/>
      <c r="Y1039" s="378"/>
      <c r="Z1039" s="378"/>
      <c r="AA1039" s="370" t="e">
        <f t="shared" ca="1" si="626"/>
        <v>#NAME?</v>
      </c>
      <c r="AB1039" s="183"/>
      <c r="AC1039" s="178"/>
      <c r="AD1039" s="178"/>
      <c r="AE1039" s="178"/>
      <c r="AF1039" s="178"/>
      <c r="AG1039" s="178"/>
      <c r="AH1039" s="178"/>
      <c r="AI1039" s="183"/>
      <c r="AJ1039" s="378"/>
      <c r="AK1039" s="171"/>
      <c r="AL1039" s="171"/>
      <c r="AM1039" s="171"/>
      <c r="AN1039" s="165"/>
      <c r="AO1039" s="193"/>
      <c r="AP1039" s="193" t="e">
        <f t="shared" ca="1" si="624"/>
        <v>#NAME?</v>
      </c>
      <c r="AQ1039" s="200"/>
      <c r="AR1039" s="204"/>
      <c r="AS1039" s="204"/>
      <c r="AT1039" s="204"/>
      <c r="AU1039" s="204"/>
      <c r="AV1039" s="204"/>
    </row>
    <row r="1040" spans="1:48" ht="12" customHeight="1">
      <c r="A1040" s="53"/>
      <c r="B1040" s="53"/>
      <c r="C1040" s="53"/>
      <c r="D1040" s="53"/>
      <c r="E1040" s="53"/>
      <c r="F1040" s="53"/>
      <c r="G1040" s="53"/>
      <c r="H1040" s="1"/>
      <c r="I1040" s="397">
        <v>911</v>
      </c>
      <c r="J1040" s="229">
        <v>3299</v>
      </c>
      <c r="K1040" s="18" t="s">
        <v>815</v>
      </c>
      <c r="L1040" s="130">
        <v>0</v>
      </c>
      <c r="M1040" s="130">
        <v>0</v>
      </c>
      <c r="N1040" s="131">
        <v>1917</v>
      </c>
      <c r="O1040" s="355">
        <f>N1040/7.5345</f>
        <v>254.42962373083813</v>
      </c>
      <c r="P1040" s="132">
        <v>1100</v>
      </c>
      <c r="Q1040" s="132">
        <v>1100</v>
      </c>
      <c r="R1040" s="159">
        <v>126</v>
      </c>
      <c r="S1040" s="165"/>
      <c r="T1040" s="165"/>
      <c r="U1040" s="165"/>
      <c r="V1040" s="200">
        <v>1150.25</v>
      </c>
      <c r="W1040" s="200">
        <v>1150.25</v>
      </c>
      <c r="X1040" s="164">
        <v>1150</v>
      </c>
      <c r="Y1040" s="378">
        <v>1400.3</v>
      </c>
      <c r="Z1040" s="378"/>
      <c r="AA1040" s="370" t="e">
        <f t="shared" ca="1" si="626"/>
        <v>#NAME?</v>
      </c>
      <c r="AB1040" s="183"/>
      <c r="AC1040" s="178">
        <v>1200</v>
      </c>
      <c r="AD1040" s="178">
        <v>1200</v>
      </c>
      <c r="AE1040" s="178"/>
      <c r="AF1040" s="178"/>
      <c r="AG1040" s="178"/>
      <c r="AH1040" s="178"/>
      <c r="AI1040" s="183"/>
      <c r="AJ1040" s="378">
        <v>1400.3</v>
      </c>
      <c r="AK1040" s="171">
        <f t="shared" si="617"/>
        <v>912.89682539682553</v>
      </c>
      <c r="AL1040" s="171">
        <f t="shared" si="618"/>
        <v>99.978265594435982</v>
      </c>
      <c r="AM1040" s="171">
        <f t="shared" si="618"/>
        <v>121.76521739130435</v>
      </c>
      <c r="AN1040" s="165"/>
      <c r="AO1040" s="193"/>
      <c r="AP1040" s="193" t="e">
        <f t="shared" ca="1" si="624"/>
        <v>#NAME?</v>
      </c>
      <c r="AQ1040" s="200"/>
      <c r="AR1040" s="204">
        <f t="shared" si="628"/>
        <v>912.89682539682553</v>
      </c>
      <c r="AS1040" s="204">
        <f t="shared" si="629"/>
        <v>100</v>
      </c>
      <c r="AT1040" s="204">
        <f t="shared" si="630"/>
        <v>912.89682539682553</v>
      </c>
      <c r="AU1040" s="204">
        <f t="shared" si="631"/>
        <v>0</v>
      </c>
      <c r="AV1040" s="204">
        <f t="shared" si="632"/>
        <v>0</v>
      </c>
    </row>
    <row r="1041" spans="1:48" ht="12" customHeight="1">
      <c r="A1041" s="53"/>
      <c r="B1041" s="53"/>
      <c r="C1041" s="53"/>
      <c r="D1041" s="53"/>
      <c r="E1041" s="53"/>
      <c r="F1041" s="53"/>
      <c r="G1041" s="53"/>
      <c r="H1041" s="1"/>
      <c r="I1041" s="397"/>
      <c r="J1041" s="558"/>
      <c r="K1041" s="18"/>
      <c r="L1041" s="413"/>
      <c r="M1041" s="413"/>
      <c r="N1041" s="414"/>
      <c r="O1041" s="414"/>
      <c r="P1041" s="415"/>
      <c r="Q1041" s="415"/>
      <c r="R1041" s="421"/>
      <c r="S1041" s="419"/>
      <c r="T1041" s="419"/>
      <c r="U1041" s="419"/>
      <c r="V1041" s="200"/>
      <c r="W1041" s="200"/>
      <c r="X1041" s="422"/>
      <c r="Y1041" s="429"/>
      <c r="Z1041" s="429"/>
      <c r="AA1041" s="370" t="e">
        <f t="shared" ca="1" si="626"/>
        <v>#NAME?</v>
      </c>
      <c r="AB1041" s="430"/>
      <c r="AC1041" s="431"/>
      <c r="AD1041" s="431"/>
      <c r="AE1041" s="178"/>
      <c r="AF1041" s="178"/>
      <c r="AG1041" s="178"/>
      <c r="AH1041" s="178"/>
      <c r="AI1041" s="430"/>
      <c r="AJ1041" s="429"/>
      <c r="AK1041" s="171"/>
      <c r="AL1041" s="171"/>
      <c r="AM1041" s="171"/>
      <c r="AN1041" s="419"/>
      <c r="AO1041" s="193"/>
      <c r="AP1041" s="193" t="e">
        <f t="shared" ca="1" si="624"/>
        <v>#NAME?</v>
      </c>
      <c r="AQ1041" s="200"/>
      <c r="AR1041" s="204"/>
      <c r="AS1041" s="204"/>
      <c r="AT1041" s="204"/>
      <c r="AU1041" s="204"/>
      <c r="AV1041" s="204"/>
    </row>
    <row r="1042" spans="1:48" ht="12" customHeight="1">
      <c r="A1042" s="301"/>
      <c r="B1042" s="301"/>
      <c r="C1042" s="301"/>
      <c r="D1042" s="301"/>
      <c r="E1042" s="301"/>
      <c r="F1042" s="301"/>
      <c r="G1042" s="301"/>
      <c r="H1042" s="307"/>
      <c r="I1042" s="350"/>
      <c r="J1042" s="302">
        <v>34</v>
      </c>
      <c r="K1042" s="343" t="s">
        <v>264</v>
      </c>
      <c r="L1042" s="112">
        <f t="shared" ref="L1042:AD1043" si="648">L1043</f>
        <v>4303</v>
      </c>
      <c r="M1042" s="112">
        <f t="shared" si="648"/>
        <v>571.10624460813585</v>
      </c>
      <c r="N1042" s="113">
        <f t="shared" si="648"/>
        <v>4491</v>
      </c>
      <c r="O1042" s="113">
        <f t="shared" si="648"/>
        <v>596.05813259008562</v>
      </c>
      <c r="P1042" s="114">
        <f t="shared" si="648"/>
        <v>1100</v>
      </c>
      <c r="Q1042" s="114">
        <f t="shared" si="648"/>
        <v>1200</v>
      </c>
      <c r="R1042" s="88">
        <f t="shared" si="648"/>
        <v>699</v>
      </c>
      <c r="S1042" s="90">
        <f t="shared" si="648"/>
        <v>0</v>
      </c>
      <c r="T1042" s="90"/>
      <c r="U1042" s="90"/>
      <c r="V1042" s="200">
        <f>V1043</f>
        <v>1930</v>
      </c>
      <c r="W1042" s="200">
        <f t="shared" si="648"/>
        <v>1930</v>
      </c>
      <c r="X1042" s="88">
        <f t="shared" si="648"/>
        <v>1200</v>
      </c>
      <c r="Y1042" s="171">
        <f t="shared" si="648"/>
        <v>1400</v>
      </c>
      <c r="Z1042" s="171">
        <f t="shared" si="648"/>
        <v>0</v>
      </c>
      <c r="AA1042" s="370" t="e">
        <f t="shared" ca="1" si="626"/>
        <v>#NAME?</v>
      </c>
      <c r="AB1042" s="171"/>
      <c r="AC1042" s="172">
        <f t="shared" si="648"/>
        <v>1200</v>
      </c>
      <c r="AD1042" s="172">
        <f t="shared" si="648"/>
        <v>1200</v>
      </c>
      <c r="AE1042" s="178">
        <f>O1042/M1042*100</f>
        <v>104.36904485242854</v>
      </c>
      <c r="AF1042" s="178">
        <f t="shared" ref="AF1042:AG1044" si="649">P1042/O1042*100</f>
        <v>184.54575818303275</v>
      </c>
      <c r="AG1042" s="178">
        <f t="shared" si="649"/>
        <v>109.09090909090908</v>
      </c>
      <c r="AH1042" s="178">
        <f>AC1042/Q1042*100</f>
        <v>100</v>
      </c>
      <c r="AI1042" s="171"/>
      <c r="AJ1042" s="171">
        <v>1400</v>
      </c>
      <c r="AK1042" s="171">
        <f t="shared" si="617"/>
        <v>276.10872675250357</v>
      </c>
      <c r="AL1042" s="171">
        <f t="shared" si="618"/>
        <v>62.176165803108809</v>
      </c>
      <c r="AM1042" s="171">
        <f t="shared" si="618"/>
        <v>116.66666666666667</v>
      </c>
      <c r="AN1042" s="90"/>
      <c r="AO1042" s="193"/>
      <c r="AP1042" s="193" t="e">
        <f t="shared" ca="1" si="624"/>
        <v>#NAME?</v>
      </c>
      <c r="AQ1042" s="200">
        <f>AQ1043</f>
        <v>732.34</v>
      </c>
      <c r="AR1042" s="204">
        <f t="shared" si="628"/>
        <v>276.10872675250357</v>
      </c>
      <c r="AS1042" s="204">
        <f t="shared" si="629"/>
        <v>100</v>
      </c>
      <c r="AT1042" s="204">
        <f t="shared" si="630"/>
        <v>276.10872675250357</v>
      </c>
      <c r="AU1042" s="204">
        <f t="shared" si="631"/>
        <v>37.945077720207252</v>
      </c>
      <c r="AV1042" s="204">
        <f t="shared" si="632"/>
        <v>104.76967095851218</v>
      </c>
    </row>
    <row r="1043" spans="1:48" ht="12" customHeight="1">
      <c r="A1043" s="62"/>
      <c r="B1043" s="272"/>
      <c r="C1043" s="272"/>
      <c r="D1043" s="272"/>
      <c r="E1043" s="272"/>
      <c r="F1043" s="272"/>
      <c r="G1043" s="272"/>
      <c r="H1043" s="396"/>
      <c r="I1043" s="493"/>
      <c r="J1043" s="303">
        <v>343</v>
      </c>
      <c r="K1043" s="19" t="s">
        <v>435</v>
      </c>
      <c r="L1043" s="112">
        <f t="shared" si="648"/>
        <v>4303</v>
      </c>
      <c r="M1043" s="112">
        <f t="shared" si="648"/>
        <v>571.10624460813585</v>
      </c>
      <c r="N1043" s="113">
        <f t="shared" si="648"/>
        <v>4491</v>
      </c>
      <c r="O1043" s="113">
        <f t="shared" si="648"/>
        <v>596.05813259008562</v>
      </c>
      <c r="P1043" s="114">
        <f t="shared" si="648"/>
        <v>1100</v>
      </c>
      <c r="Q1043" s="114">
        <f t="shared" si="648"/>
        <v>1200</v>
      </c>
      <c r="R1043" s="88">
        <f t="shared" si="648"/>
        <v>699</v>
      </c>
      <c r="S1043" s="90">
        <f t="shared" si="648"/>
        <v>0</v>
      </c>
      <c r="T1043" s="90"/>
      <c r="U1043" s="90"/>
      <c r="V1043" s="200">
        <f>V1044</f>
        <v>1930</v>
      </c>
      <c r="W1043" s="200">
        <f t="shared" si="648"/>
        <v>1930</v>
      </c>
      <c r="X1043" s="88">
        <f t="shared" si="648"/>
        <v>1200</v>
      </c>
      <c r="Y1043" s="171">
        <f t="shared" si="648"/>
        <v>1400</v>
      </c>
      <c r="Z1043" s="171">
        <f t="shared" si="648"/>
        <v>0</v>
      </c>
      <c r="AA1043" s="370" t="e">
        <f t="shared" ca="1" si="626"/>
        <v>#NAME?</v>
      </c>
      <c r="AB1043" s="171"/>
      <c r="AC1043" s="172">
        <f t="shared" si="648"/>
        <v>1200</v>
      </c>
      <c r="AD1043" s="172">
        <f t="shared" si="648"/>
        <v>1200</v>
      </c>
      <c r="AE1043" s="178">
        <f>O1043/M1043*100</f>
        <v>104.36904485242854</v>
      </c>
      <c r="AF1043" s="178">
        <f t="shared" si="649"/>
        <v>184.54575818303275</v>
      </c>
      <c r="AG1043" s="178">
        <f t="shared" si="649"/>
        <v>109.09090909090908</v>
      </c>
      <c r="AH1043" s="178">
        <f>AC1043/Q1043*100</f>
        <v>100</v>
      </c>
      <c r="AI1043" s="171"/>
      <c r="AJ1043" s="171">
        <v>1400</v>
      </c>
      <c r="AK1043" s="171">
        <f t="shared" si="617"/>
        <v>276.10872675250357</v>
      </c>
      <c r="AL1043" s="171">
        <f t="shared" si="618"/>
        <v>62.176165803108809</v>
      </c>
      <c r="AM1043" s="171">
        <f t="shared" si="618"/>
        <v>116.66666666666667</v>
      </c>
      <c r="AN1043" s="90"/>
      <c r="AO1043" s="193"/>
      <c r="AP1043" s="193" t="e">
        <f t="shared" ca="1" si="624"/>
        <v>#NAME?</v>
      </c>
      <c r="AQ1043" s="200">
        <f>AQ1044</f>
        <v>732.34</v>
      </c>
      <c r="AR1043" s="204">
        <f t="shared" si="628"/>
        <v>276.10872675250357</v>
      </c>
      <c r="AS1043" s="204">
        <f t="shared" si="629"/>
        <v>100</v>
      </c>
      <c r="AT1043" s="204">
        <f t="shared" si="630"/>
        <v>276.10872675250357</v>
      </c>
      <c r="AU1043" s="204">
        <f t="shared" si="631"/>
        <v>37.945077720207252</v>
      </c>
      <c r="AV1043" s="204">
        <f t="shared" si="632"/>
        <v>104.76967095851218</v>
      </c>
    </row>
    <row r="1044" spans="1:48" ht="12" customHeight="1">
      <c r="A1044" s="53"/>
      <c r="B1044" s="53"/>
      <c r="C1044" s="53"/>
      <c r="D1044" s="53"/>
      <c r="E1044" s="53"/>
      <c r="F1044" s="53"/>
      <c r="G1044" s="53"/>
      <c r="H1044" s="1"/>
      <c r="I1044" s="397">
        <v>911</v>
      </c>
      <c r="J1044" s="229">
        <v>3431</v>
      </c>
      <c r="K1044" s="18" t="s">
        <v>816</v>
      </c>
      <c r="L1044" s="130">
        <v>4303</v>
      </c>
      <c r="M1044" s="130">
        <f>4303/7.5345</f>
        <v>571.10624460813585</v>
      </c>
      <c r="N1044" s="131">
        <v>4491</v>
      </c>
      <c r="O1044" s="131">
        <f>N1044/7.5345</f>
        <v>596.05813259008562</v>
      </c>
      <c r="P1044" s="132">
        <v>1100</v>
      </c>
      <c r="Q1044" s="163">
        <v>1200</v>
      </c>
      <c r="R1044" s="159">
        <v>699</v>
      </c>
      <c r="S1044" s="165"/>
      <c r="T1044" s="165"/>
      <c r="U1044" s="165"/>
      <c r="V1044" s="200">
        <v>1930</v>
      </c>
      <c r="W1044" s="200">
        <v>1930</v>
      </c>
      <c r="X1044" s="164">
        <v>1200</v>
      </c>
      <c r="Y1044" s="378">
        <v>1400</v>
      </c>
      <c r="Z1044" s="378"/>
      <c r="AA1044" s="370" t="e">
        <f t="shared" ca="1" si="626"/>
        <v>#NAME?</v>
      </c>
      <c r="AB1044" s="183"/>
      <c r="AC1044" s="178">
        <v>1200</v>
      </c>
      <c r="AD1044" s="178">
        <v>1200</v>
      </c>
      <c r="AE1044" s="178">
        <f>O1044/M1044*100</f>
        <v>104.36904485242854</v>
      </c>
      <c r="AF1044" s="178">
        <f t="shared" si="649"/>
        <v>184.54575818303275</v>
      </c>
      <c r="AG1044" s="178">
        <f t="shared" si="649"/>
        <v>109.09090909090908</v>
      </c>
      <c r="AH1044" s="178">
        <f>AC1044/Q1044*100</f>
        <v>100</v>
      </c>
      <c r="AI1044" s="183"/>
      <c r="AJ1044" s="378">
        <v>1400</v>
      </c>
      <c r="AK1044" s="171">
        <f t="shared" si="617"/>
        <v>276.10872675250357</v>
      </c>
      <c r="AL1044" s="171">
        <f t="shared" si="618"/>
        <v>62.176165803108809</v>
      </c>
      <c r="AM1044" s="171">
        <f t="shared" si="618"/>
        <v>116.66666666666667</v>
      </c>
      <c r="AN1044" s="165"/>
      <c r="AO1044" s="193"/>
      <c r="AP1044" s="193" t="e">
        <f t="shared" ca="1" si="624"/>
        <v>#NAME?</v>
      </c>
      <c r="AQ1044" s="200">
        <v>732.34</v>
      </c>
      <c r="AR1044" s="204">
        <f t="shared" si="628"/>
        <v>276.10872675250357</v>
      </c>
      <c r="AS1044" s="204">
        <f t="shared" si="629"/>
        <v>100</v>
      </c>
      <c r="AT1044" s="204">
        <f t="shared" si="630"/>
        <v>276.10872675250357</v>
      </c>
      <c r="AU1044" s="204">
        <f t="shared" si="631"/>
        <v>37.945077720207252</v>
      </c>
      <c r="AV1044" s="204">
        <f t="shared" si="632"/>
        <v>104.76967095851218</v>
      </c>
    </row>
    <row r="1045" spans="1:48" ht="12" customHeight="1">
      <c r="A1045" s="42"/>
      <c r="B1045" s="42"/>
      <c r="C1045" s="42"/>
      <c r="D1045" s="42"/>
      <c r="E1045" s="42"/>
      <c r="F1045" s="42"/>
      <c r="G1045" s="42"/>
      <c r="H1045" s="308"/>
      <c r="I1045" s="14"/>
      <c r="J1045" s="2"/>
      <c r="K1045" s="84"/>
      <c r="L1045" s="85"/>
      <c r="M1045" s="85"/>
      <c r="N1045" s="86"/>
      <c r="O1045" s="86"/>
      <c r="P1045" s="87"/>
      <c r="Q1045" s="87"/>
      <c r="R1045" s="362"/>
      <c r="S1045" s="384"/>
      <c r="T1045" s="384"/>
      <c r="U1045" s="384"/>
      <c r="V1045" s="200"/>
      <c r="W1045" s="200"/>
      <c r="X1045" s="361"/>
      <c r="Y1045" s="373"/>
      <c r="Z1045" s="373"/>
      <c r="AA1045" s="370" t="e">
        <f t="shared" ca="1" si="626"/>
        <v>#NAME?</v>
      </c>
      <c r="AB1045" s="380"/>
      <c r="AC1045" s="182"/>
      <c r="AD1045" s="182"/>
      <c r="AE1045" s="178"/>
      <c r="AF1045" s="178"/>
      <c r="AG1045" s="178"/>
      <c r="AH1045" s="178"/>
      <c r="AI1045" s="380"/>
      <c r="AJ1045" s="373"/>
      <c r="AK1045" s="171"/>
      <c r="AL1045" s="171"/>
      <c r="AM1045" s="171"/>
      <c r="AN1045" s="384"/>
      <c r="AO1045" s="193"/>
      <c r="AP1045" s="193" t="e">
        <f t="shared" ca="1" si="624"/>
        <v>#NAME?</v>
      </c>
      <c r="AQ1045" s="200"/>
      <c r="AR1045" s="204"/>
      <c r="AS1045" s="204"/>
      <c r="AT1045" s="204"/>
      <c r="AU1045" s="204"/>
      <c r="AV1045" s="204"/>
    </row>
    <row r="1046" spans="1:48" ht="12" customHeight="1">
      <c r="A1046" s="433" t="s">
        <v>578</v>
      </c>
      <c r="B1046" s="434"/>
      <c r="C1046" s="434"/>
      <c r="D1046" s="434"/>
      <c r="E1046" s="434"/>
      <c r="F1046" s="434"/>
      <c r="G1046" s="434"/>
      <c r="H1046" s="435"/>
      <c r="I1046" s="482" t="s">
        <v>817</v>
      </c>
      <c r="J1046" s="448"/>
      <c r="K1046" s="124"/>
      <c r="L1046" s="335">
        <f t="shared" ref="L1046:S1046" si="650">L1048</f>
        <v>27582</v>
      </c>
      <c r="M1046" s="335">
        <f t="shared" si="650"/>
        <v>3660.7605016922157</v>
      </c>
      <c r="N1046" s="336">
        <f t="shared" si="650"/>
        <v>23065</v>
      </c>
      <c r="O1046" s="336">
        <f t="shared" si="650"/>
        <v>3061.2515760833498</v>
      </c>
      <c r="P1046" s="337">
        <f t="shared" si="650"/>
        <v>5900</v>
      </c>
      <c r="Q1046" s="337">
        <f t="shared" si="650"/>
        <v>6000</v>
      </c>
      <c r="R1046" s="359">
        <f t="shared" si="650"/>
        <v>3982</v>
      </c>
      <c r="S1046" s="360">
        <f t="shared" si="650"/>
        <v>0</v>
      </c>
      <c r="T1046" s="360"/>
      <c r="U1046" s="360"/>
      <c r="V1046" s="200">
        <f>V1048</f>
        <v>8380</v>
      </c>
      <c r="W1046" s="200">
        <f>W1048</f>
        <v>8380</v>
      </c>
      <c r="X1046" s="359">
        <f>X1048</f>
        <v>9400</v>
      </c>
      <c r="Y1046" s="371">
        <f>Y1048</f>
        <v>10500</v>
      </c>
      <c r="Z1046" s="371">
        <f>Z1048</f>
        <v>0</v>
      </c>
      <c r="AA1046" s="370" t="e">
        <f t="shared" ca="1" si="626"/>
        <v>#NAME?</v>
      </c>
      <c r="AB1046" s="371"/>
      <c r="AC1046" s="372">
        <f>AC1048</f>
        <v>6000</v>
      </c>
      <c r="AD1046" s="372">
        <f>AD1048</f>
        <v>6000</v>
      </c>
      <c r="AE1046" s="178">
        <f>O1046/M1046*100</f>
        <v>83.62337756507867</v>
      </c>
      <c r="AF1046" s="178">
        <f>P1046/O1046*100</f>
        <v>192.73162800780403</v>
      </c>
      <c r="AG1046" s="178">
        <f>Q1046/P1046*100</f>
        <v>101.69491525423729</v>
      </c>
      <c r="AH1046" s="178">
        <f>AC1046/Q1046*100</f>
        <v>100</v>
      </c>
      <c r="AI1046" s="371"/>
      <c r="AJ1046" s="371">
        <v>10500</v>
      </c>
      <c r="AK1046" s="171">
        <f t="shared" ref="AK1046:AK1107" si="651">W1046/R1046*100</f>
        <v>210.44701155198391</v>
      </c>
      <c r="AL1046" s="171">
        <f t="shared" ref="AL1046:AM1107" si="652">X1046/W1046*100</f>
        <v>112.17183770883055</v>
      </c>
      <c r="AM1046" s="171">
        <f t="shared" si="652"/>
        <v>111.70212765957446</v>
      </c>
      <c r="AN1046" s="360"/>
      <c r="AO1046" s="193"/>
      <c r="AP1046" s="193" t="e">
        <f t="shared" ca="1" si="624"/>
        <v>#NAME?</v>
      </c>
      <c r="AQ1046" s="200">
        <f>AQ1048</f>
        <v>21832.94</v>
      </c>
      <c r="AR1046" s="204">
        <f t="shared" si="628"/>
        <v>210.44701155198391</v>
      </c>
      <c r="AS1046" s="204">
        <f t="shared" si="629"/>
        <v>100</v>
      </c>
      <c r="AT1046" s="204">
        <f t="shared" si="630"/>
        <v>210.44701155198391</v>
      </c>
      <c r="AU1046" s="204">
        <f t="shared" si="631"/>
        <v>260.53627684964198</v>
      </c>
      <c r="AV1046" s="204">
        <f t="shared" si="632"/>
        <v>548.29080863887486</v>
      </c>
    </row>
    <row r="1047" spans="1:48" ht="12" customHeight="1">
      <c r="A1047" s="42"/>
      <c r="B1047" s="42"/>
      <c r="C1047" s="42"/>
      <c r="D1047" s="42"/>
      <c r="E1047" s="42"/>
      <c r="F1047" s="42"/>
      <c r="G1047" s="42"/>
      <c r="H1047" s="308"/>
      <c r="I1047" s="14"/>
      <c r="J1047" s="2"/>
      <c r="K1047" s="281"/>
      <c r="L1047" s="85"/>
      <c r="M1047" s="85"/>
      <c r="N1047" s="86"/>
      <c r="O1047" s="86"/>
      <c r="P1047" s="87"/>
      <c r="Q1047" s="87"/>
      <c r="R1047" s="160"/>
      <c r="S1047" s="161"/>
      <c r="T1047" s="161"/>
      <c r="U1047" s="161"/>
      <c r="V1047" s="200"/>
      <c r="W1047" s="200"/>
      <c r="X1047" s="361"/>
      <c r="Y1047" s="373"/>
      <c r="Z1047" s="373"/>
      <c r="AA1047" s="370" t="e">
        <f t="shared" ca="1" si="626"/>
        <v>#NAME?</v>
      </c>
      <c r="AB1047" s="181"/>
      <c r="AC1047" s="182"/>
      <c r="AD1047" s="182"/>
      <c r="AE1047" s="178"/>
      <c r="AF1047" s="178"/>
      <c r="AG1047" s="178"/>
      <c r="AH1047" s="178"/>
      <c r="AI1047" s="181"/>
      <c r="AJ1047" s="373"/>
      <c r="AK1047" s="171"/>
      <c r="AL1047" s="171"/>
      <c r="AM1047" s="171"/>
      <c r="AN1047" s="161"/>
      <c r="AO1047" s="193"/>
      <c r="AP1047" s="193" t="e">
        <f t="shared" ca="1" si="624"/>
        <v>#NAME?</v>
      </c>
      <c r="AQ1047" s="200"/>
      <c r="AR1047" s="204"/>
      <c r="AS1047" s="204"/>
      <c r="AT1047" s="204"/>
      <c r="AU1047" s="204"/>
      <c r="AV1047" s="204"/>
    </row>
    <row r="1048" spans="1:48" ht="12" customHeight="1">
      <c r="A1048" s="24"/>
      <c r="B1048" s="24"/>
      <c r="C1048" s="24"/>
      <c r="D1048" s="24"/>
      <c r="E1048" s="24"/>
      <c r="F1048" s="24"/>
      <c r="G1048" s="24"/>
      <c r="H1048" s="393"/>
      <c r="I1048" s="465"/>
      <c r="J1048" s="281">
        <v>3</v>
      </c>
      <c r="K1048" s="2" t="s">
        <v>224</v>
      </c>
      <c r="L1048" s="112">
        <f t="shared" ref="L1048:S1049" si="653">L1049</f>
        <v>27582</v>
      </c>
      <c r="M1048" s="112">
        <f t="shared" si="653"/>
        <v>3660.7605016922157</v>
      </c>
      <c r="N1048" s="113">
        <f t="shared" si="653"/>
        <v>23065</v>
      </c>
      <c r="O1048" s="113">
        <f t="shared" si="653"/>
        <v>3061.2515760833498</v>
      </c>
      <c r="P1048" s="114">
        <f t="shared" si="653"/>
        <v>5900</v>
      </c>
      <c r="Q1048" s="114">
        <f t="shared" si="653"/>
        <v>6000</v>
      </c>
      <c r="R1048" s="88">
        <f t="shared" si="653"/>
        <v>3982</v>
      </c>
      <c r="S1048" s="90">
        <f t="shared" si="653"/>
        <v>0</v>
      </c>
      <c r="T1048" s="90"/>
      <c r="U1048" s="90"/>
      <c r="V1048" s="200">
        <f>V1049</f>
        <v>8380</v>
      </c>
      <c r="W1048" s="200">
        <f t="shared" ref="W1048:Z1049" si="654">W1049</f>
        <v>8380</v>
      </c>
      <c r="X1048" s="88">
        <f t="shared" si="654"/>
        <v>9400</v>
      </c>
      <c r="Y1048" s="171">
        <f t="shared" si="654"/>
        <v>10500</v>
      </c>
      <c r="Z1048" s="171">
        <f t="shared" si="654"/>
        <v>0</v>
      </c>
      <c r="AA1048" s="370" t="e">
        <f t="shared" ca="1" si="626"/>
        <v>#NAME?</v>
      </c>
      <c r="AB1048" s="171"/>
      <c r="AC1048" s="172">
        <f>AC1049</f>
        <v>6000</v>
      </c>
      <c r="AD1048" s="172">
        <f>AD1049</f>
        <v>6000</v>
      </c>
      <c r="AE1048" s="178">
        <f>O1048/M1048*100</f>
        <v>83.62337756507867</v>
      </c>
      <c r="AF1048" s="178">
        <f t="shared" ref="AF1048:AG1050" si="655">P1048/O1048*100</f>
        <v>192.73162800780403</v>
      </c>
      <c r="AG1048" s="178">
        <f t="shared" si="655"/>
        <v>101.69491525423729</v>
      </c>
      <c r="AH1048" s="178">
        <f>AC1048/Q1048*100</f>
        <v>100</v>
      </c>
      <c r="AI1048" s="171"/>
      <c r="AJ1048" s="171">
        <v>10500</v>
      </c>
      <c r="AK1048" s="171">
        <f t="shared" si="651"/>
        <v>210.44701155198391</v>
      </c>
      <c r="AL1048" s="171">
        <f t="shared" si="652"/>
        <v>112.17183770883055</v>
      </c>
      <c r="AM1048" s="171">
        <f t="shared" si="652"/>
        <v>111.70212765957446</v>
      </c>
      <c r="AN1048" s="90"/>
      <c r="AO1048" s="193"/>
      <c r="AP1048" s="193" t="e">
        <f t="shared" ca="1" si="624"/>
        <v>#NAME?</v>
      </c>
      <c r="AQ1048" s="200">
        <f>AQ1049</f>
        <v>21832.94</v>
      </c>
      <c r="AR1048" s="204">
        <f t="shared" si="628"/>
        <v>210.44701155198391</v>
      </c>
      <c r="AS1048" s="204">
        <f t="shared" si="629"/>
        <v>100</v>
      </c>
      <c r="AT1048" s="204">
        <f t="shared" si="630"/>
        <v>210.44701155198391</v>
      </c>
      <c r="AU1048" s="204">
        <f t="shared" si="631"/>
        <v>260.53627684964198</v>
      </c>
      <c r="AV1048" s="204">
        <f t="shared" si="632"/>
        <v>548.29080863887486</v>
      </c>
    </row>
    <row r="1049" spans="1:48" ht="12" customHeight="1">
      <c r="A1049" s="301"/>
      <c r="B1049" s="301"/>
      <c r="C1049" s="301"/>
      <c r="D1049" s="301"/>
      <c r="E1049" s="301"/>
      <c r="F1049" s="301"/>
      <c r="G1049" s="301"/>
      <c r="H1049" s="307"/>
      <c r="I1049" s="350"/>
      <c r="J1049" s="302">
        <v>38</v>
      </c>
      <c r="K1049" s="343" t="s">
        <v>285</v>
      </c>
      <c r="L1049" s="112">
        <f t="shared" si="653"/>
        <v>27582</v>
      </c>
      <c r="M1049" s="112">
        <f t="shared" si="653"/>
        <v>3660.7605016922157</v>
      </c>
      <c r="N1049" s="113">
        <f t="shared" si="653"/>
        <v>23065</v>
      </c>
      <c r="O1049" s="113">
        <f t="shared" si="653"/>
        <v>3061.2515760833498</v>
      </c>
      <c r="P1049" s="114">
        <f t="shared" si="653"/>
        <v>5900</v>
      </c>
      <c r="Q1049" s="114">
        <f t="shared" si="653"/>
        <v>6000</v>
      </c>
      <c r="R1049" s="88">
        <f t="shared" si="653"/>
        <v>3982</v>
      </c>
      <c r="S1049" s="90">
        <f t="shared" si="653"/>
        <v>0</v>
      </c>
      <c r="T1049" s="90"/>
      <c r="U1049" s="90"/>
      <c r="V1049" s="200">
        <f>V1050</f>
        <v>8380</v>
      </c>
      <c r="W1049" s="200">
        <f t="shared" si="654"/>
        <v>8380</v>
      </c>
      <c r="X1049" s="88">
        <f t="shared" si="654"/>
        <v>9400</v>
      </c>
      <c r="Y1049" s="171">
        <f t="shared" si="654"/>
        <v>10500</v>
      </c>
      <c r="Z1049" s="171">
        <f t="shared" si="654"/>
        <v>0</v>
      </c>
      <c r="AA1049" s="370" t="e">
        <f t="shared" ca="1" si="626"/>
        <v>#NAME?</v>
      </c>
      <c r="AB1049" s="171"/>
      <c r="AC1049" s="172">
        <f>AC1050</f>
        <v>6000</v>
      </c>
      <c r="AD1049" s="172">
        <f>AD1050</f>
        <v>6000</v>
      </c>
      <c r="AE1049" s="178">
        <f>O1049/M1049*100</f>
        <v>83.62337756507867</v>
      </c>
      <c r="AF1049" s="178">
        <f t="shared" si="655"/>
        <v>192.73162800780403</v>
      </c>
      <c r="AG1049" s="178">
        <f t="shared" si="655"/>
        <v>101.69491525423729</v>
      </c>
      <c r="AH1049" s="178">
        <f>AC1049/Q1049*100</f>
        <v>100</v>
      </c>
      <c r="AI1049" s="171"/>
      <c r="AJ1049" s="171">
        <v>10500</v>
      </c>
      <c r="AK1049" s="171">
        <f t="shared" si="651"/>
        <v>210.44701155198391</v>
      </c>
      <c r="AL1049" s="171">
        <f t="shared" si="652"/>
        <v>112.17183770883055</v>
      </c>
      <c r="AM1049" s="171">
        <f t="shared" si="652"/>
        <v>111.70212765957446</v>
      </c>
      <c r="AN1049" s="90"/>
      <c r="AO1049" s="193"/>
      <c r="AP1049" s="193" t="e">
        <f t="shared" ca="1" si="624"/>
        <v>#NAME?</v>
      </c>
      <c r="AQ1049" s="200">
        <f>AQ1050</f>
        <v>21832.94</v>
      </c>
      <c r="AR1049" s="204">
        <f t="shared" si="628"/>
        <v>210.44701155198391</v>
      </c>
      <c r="AS1049" s="204">
        <f t="shared" si="629"/>
        <v>100</v>
      </c>
      <c r="AT1049" s="204">
        <f t="shared" si="630"/>
        <v>210.44701155198391</v>
      </c>
      <c r="AU1049" s="204">
        <f t="shared" si="631"/>
        <v>260.53627684964198</v>
      </c>
      <c r="AV1049" s="204">
        <f t="shared" si="632"/>
        <v>548.29080863887486</v>
      </c>
    </row>
    <row r="1050" spans="1:48" ht="12" customHeight="1">
      <c r="A1050" s="62"/>
      <c r="B1050" s="62"/>
      <c r="C1050" s="62"/>
      <c r="D1050" s="62"/>
      <c r="E1050" s="62"/>
      <c r="F1050" s="62"/>
      <c r="G1050" s="62"/>
      <c r="H1050" s="304"/>
      <c r="I1050" s="464"/>
      <c r="J1050" s="303">
        <v>381</v>
      </c>
      <c r="K1050" s="19" t="s">
        <v>407</v>
      </c>
      <c r="L1050" s="112">
        <f t="shared" ref="L1050:S1050" si="656">L1051+L1052</f>
        <v>27582</v>
      </c>
      <c r="M1050" s="112">
        <f t="shared" si="656"/>
        <v>3660.7605016922157</v>
      </c>
      <c r="N1050" s="113">
        <f t="shared" si="656"/>
        <v>23065</v>
      </c>
      <c r="O1050" s="113">
        <f t="shared" si="656"/>
        <v>3061.2515760833498</v>
      </c>
      <c r="P1050" s="114">
        <f t="shared" si="656"/>
        <v>5900</v>
      </c>
      <c r="Q1050" s="114">
        <f t="shared" si="656"/>
        <v>6000</v>
      </c>
      <c r="R1050" s="88">
        <f t="shared" si="656"/>
        <v>3982</v>
      </c>
      <c r="S1050" s="90">
        <f t="shared" si="656"/>
        <v>0</v>
      </c>
      <c r="T1050" s="90"/>
      <c r="U1050" s="90"/>
      <c r="V1050" s="200">
        <f>V1051+V1052</f>
        <v>8380</v>
      </c>
      <c r="W1050" s="200">
        <f>W1051+W1052</f>
        <v>8380</v>
      </c>
      <c r="X1050" s="88">
        <f>X1051+X1052</f>
        <v>9400</v>
      </c>
      <c r="Y1050" s="171">
        <f>Y1051+Y1052</f>
        <v>10500</v>
      </c>
      <c r="Z1050" s="171">
        <f>Z1051+Z1052</f>
        <v>0</v>
      </c>
      <c r="AA1050" s="370" t="e">
        <f t="shared" ca="1" si="626"/>
        <v>#NAME?</v>
      </c>
      <c r="AB1050" s="171"/>
      <c r="AC1050" s="172">
        <f>AC1051+AC1052</f>
        <v>6000</v>
      </c>
      <c r="AD1050" s="172">
        <f>AD1051+AD1052</f>
        <v>6000</v>
      </c>
      <c r="AE1050" s="178">
        <f>O1050/M1050*100</f>
        <v>83.62337756507867</v>
      </c>
      <c r="AF1050" s="178">
        <f t="shared" si="655"/>
        <v>192.73162800780403</v>
      </c>
      <c r="AG1050" s="178">
        <f t="shared" si="655"/>
        <v>101.69491525423729</v>
      </c>
      <c r="AH1050" s="178">
        <f>AC1050/Q1050*100</f>
        <v>100</v>
      </c>
      <c r="AI1050" s="171"/>
      <c r="AJ1050" s="171">
        <v>10500</v>
      </c>
      <c r="AK1050" s="171">
        <f t="shared" si="651"/>
        <v>210.44701155198391</v>
      </c>
      <c r="AL1050" s="171">
        <f t="shared" si="652"/>
        <v>112.17183770883055</v>
      </c>
      <c r="AM1050" s="171">
        <f t="shared" si="652"/>
        <v>111.70212765957446</v>
      </c>
      <c r="AN1050" s="90"/>
      <c r="AO1050" s="193"/>
      <c r="AP1050" s="193" t="e">
        <f t="shared" ca="1" si="624"/>
        <v>#NAME?</v>
      </c>
      <c r="AQ1050" s="200">
        <f>AQ1051+AQ1052</f>
        <v>21832.94</v>
      </c>
      <c r="AR1050" s="204">
        <f t="shared" si="628"/>
        <v>210.44701155198391</v>
      </c>
      <c r="AS1050" s="204">
        <f t="shared" si="629"/>
        <v>100</v>
      </c>
      <c r="AT1050" s="204">
        <f t="shared" si="630"/>
        <v>210.44701155198391</v>
      </c>
      <c r="AU1050" s="204">
        <f t="shared" si="631"/>
        <v>260.53627684964198</v>
      </c>
      <c r="AV1050" s="204">
        <f t="shared" si="632"/>
        <v>548.29080863887486</v>
      </c>
    </row>
    <row r="1051" spans="1:48" ht="12" customHeight="1">
      <c r="A1051" s="53"/>
      <c r="B1051" s="53"/>
      <c r="C1051" s="53"/>
      <c r="D1051" s="53"/>
      <c r="E1051" s="53"/>
      <c r="F1051" s="53"/>
      <c r="G1051" s="53"/>
      <c r="H1051" s="1"/>
      <c r="I1051" s="397"/>
      <c r="J1051" s="229">
        <v>3811</v>
      </c>
      <c r="K1051" s="18" t="s">
        <v>286</v>
      </c>
      <c r="L1051" s="130"/>
      <c r="M1051" s="130"/>
      <c r="N1051" s="131"/>
      <c r="O1051" s="131"/>
      <c r="P1051" s="132"/>
      <c r="Q1051" s="132"/>
      <c r="R1051" s="159"/>
      <c r="S1051" s="165"/>
      <c r="T1051" s="165"/>
      <c r="U1051" s="165"/>
      <c r="V1051" s="200"/>
      <c r="W1051" s="200"/>
      <c r="X1051" s="164"/>
      <c r="Y1051" s="378"/>
      <c r="Z1051" s="378"/>
      <c r="AA1051" s="370" t="e">
        <f t="shared" ca="1" si="626"/>
        <v>#NAME?</v>
      </c>
      <c r="AB1051" s="183"/>
      <c r="AC1051" s="178"/>
      <c r="AD1051" s="178"/>
      <c r="AE1051" s="178"/>
      <c r="AF1051" s="178"/>
      <c r="AG1051" s="178"/>
      <c r="AH1051" s="178"/>
      <c r="AI1051" s="183"/>
      <c r="AJ1051" s="378"/>
      <c r="AK1051" s="171"/>
      <c r="AL1051" s="171"/>
      <c r="AM1051" s="171"/>
      <c r="AN1051" s="165"/>
      <c r="AO1051" s="193"/>
      <c r="AP1051" s="193" t="e">
        <f t="shared" ca="1" si="624"/>
        <v>#NAME?</v>
      </c>
      <c r="AQ1051" s="200"/>
      <c r="AR1051" s="204"/>
      <c r="AS1051" s="204"/>
      <c r="AT1051" s="204"/>
      <c r="AU1051" s="204"/>
      <c r="AV1051" s="204"/>
    </row>
    <row r="1052" spans="1:48" ht="12" customHeight="1">
      <c r="A1052" s="53"/>
      <c r="B1052" s="53"/>
      <c r="C1052" s="53"/>
      <c r="D1052" s="53"/>
      <c r="E1052" s="53"/>
      <c r="F1052" s="53"/>
      <c r="G1052" s="53"/>
      <c r="H1052" s="1">
        <v>42</v>
      </c>
      <c r="I1052" s="397">
        <v>911</v>
      </c>
      <c r="J1052" s="229">
        <v>3812</v>
      </c>
      <c r="K1052" s="18" t="s">
        <v>818</v>
      </c>
      <c r="L1052" s="130">
        <v>27582</v>
      </c>
      <c r="M1052" s="130">
        <f>27582/7.5345</f>
        <v>3660.7605016922157</v>
      </c>
      <c r="N1052" s="131">
        <v>23065</v>
      </c>
      <c r="O1052" s="131">
        <f>N1052/7.5345</f>
        <v>3061.2515760833498</v>
      </c>
      <c r="P1052" s="132">
        <v>5900</v>
      </c>
      <c r="Q1052" s="163">
        <v>6000</v>
      </c>
      <c r="R1052" s="159">
        <v>3982</v>
      </c>
      <c r="S1052" s="165"/>
      <c r="T1052" s="165"/>
      <c r="U1052" s="165"/>
      <c r="V1052" s="200">
        <v>8380</v>
      </c>
      <c r="W1052" s="200">
        <v>8380</v>
      </c>
      <c r="X1052" s="164">
        <v>9400</v>
      </c>
      <c r="Y1052" s="378">
        <v>10500</v>
      </c>
      <c r="Z1052" s="378"/>
      <c r="AA1052" s="370" t="e">
        <f t="shared" ca="1" si="626"/>
        <v>#NAME?</v>
      </c>
      <c r="AB1052" s="183"/>
      <c r="AC1052" s="178">
        <v>6000</v>
      </c>
      <c r="AD1052" s="178">
        <v>6000</v>
      </c>
      <c r="AE1052" s="178">
        <f>O1052/M1052*100</f>
        <v>83.62337756507867</v>
      </c>
      <c r="AF1052" s="178">
        <f>P1052/O1052*100</f>
        <v>192.73162800780403</v>
      </c>
      <c r="AG1052" s="178">
        <f>Q1052/P1052*100</f>
        <v>101.69491525423729</v>
      </c>
      <c r="AH1052" s="178">
        <f>AC1052/Q1052*100</f>
        <v>100</v>
      </c>
      <c r="AI1052" s="183"/>
      <c r="AJ1052" s="378">
        <v>10500</v>
      </c>
      <c r="AK1052" s="171">
        <f t="shared" si="651"/>
        <v>210.44701155198391</v>
      </c>
      <c r="AL1052" s="171">
        <f t="shared" si="652"/>
        <v>112.17183770883055</v>
      </c>
      <c r="AM1052" s="171">
        <f t="shared" si="652"/>
        <v>111.70212765957446</v>
      </c>
      <c r="AN1052" s="165"/>
      <c r="AO1052" s="193"/>
      <c r="AP1052" s="193" t="e">
        <f t="shared" ca="1" si="624"/>
        <v>#NAME?</v>
      </c>
      <c r="AQ1052" s="200">
        <v>21832.94</v>
      </c>
      <c r="AR1052" s="204">
        <f t="shared" si="628"/>
        <v>210.44701155198391</v>
      </c>
      <c r="AS1052" s="204">
        <f t="shared" si="629"/>
        <v>100</v>
      </c>
      <c r="AT1052" s="204">
        <f t="shared" si="630"/>
        <v>210.44701155198391</v>
      </c>
      <c r="AU1052" s="204">
        <f t="shared" si="631"/>
        <v>260.53627684964198</v>
      </c>
      <c r="AV1052" s="204">
        <f t="shared" si="632"/>
        <v>548.29080863887486</v>
      </c>
    </row>
    <row r="1053" spans="1:48" ht="12" customHeight="1">
      <c r="A1053" s="53"/>
      <c r="B1053" s="53"/>
      <c r="C1053" s="53"/>
      <c r="D1053" s="53"/>
      <c r="E1053" s="53"/>
      <c r="F1053" s="53"/>
      <c r="G1053" s="53"/>
      <c r="H1053" s="1"/>
      <c r="I1053" s="397"/>
      <c r="J1053" s="229"/>
      <c r="K1053" s="18"/>
      <c r="L1053" s="130"/>
      <c r="M1053" s="130"/>
      <c r="N1053" s="131"/>
      <c r="O1053" s="131"/>
      <c r="P1053" s="132"/>
      <c r="Q1053" s="132"/>
      <c r="R1053" s="159"/>
      <c r="S1053" s="165"/>
      <c r="T1053" s="165"/>
      <c r="U1053" s="165"/>
      <c r="V1053" s="200"/>
      <c r="W1053" s="200"/>
      <c r="X1053" s="164"/>
      <c r="Y1053" s="378"/>
      <c r="Z1053" s="378"/>
      <c r="AA1053" s="370" t="e">
        <f t="shared" ca="1" si="626"/>
        <v>#NAME?</v>
      </c>
      <c r="AB1053" s="183"/>
      <c r="AC1053" s="178"/>
      <c r="AD1053" s="178"/>
      <c r="AE1053" s="178"/>
      <c r="AF1053" s="178"/>
      <c r="AG1053" s="178"/>
      <c r="AH1053" s="178"/>
      <c r="AI1053" s="183"/>
      <c r="AJ1053" s="378"/>
      <c r="AK1053" s="171"/>
      <c r="AL1053" s="171"/>
      <c r="AM1053" s="171"/>
      <c r="AN1053" s="165"/>
      <c r="AO1053" s="193"/>
      <c r="AP1053" s="193" t="e">
        <f t="shared" ca="1" si="624"/>
        <v>#NAME?</v>
      </c>
      <c r="AQ1053" s="200"/>
      <c r="AR1053" s="204"/>
      <c r="AS1053" s="204"/>
      <c r="AT1053" s="204"/>
      <c r="AU1053" s="204"/>
      <c r="AV1053" s="204"/>
    </row>
    <row r="1054" spans="1:48" ht="12" customHeight="1">
      <c r="A1054" s="390" t="s">
        <v>426</v>
      </c>
      <c r="B1054" s="391"/>
      <c r="C1054" s="391"/>
      <c r="D1054" s="391"/>
      <c r="E1054" s="391"/>
      <c r="F1054" s="391"/>
      <c r="G1054" s="391"/>
      <c r="H1054" s="392"/>
      <c r="I1054" s="485" t="s">
        <v>819</v>
      </c>
      <c r="J1054" s="486"/>
      <c r="K1054" s="300"/>
      <c r="L1054" s="112">
        <f t="shared" ref="L1054:S1054" si="657">L1056</f>
        <v>44348</v>
      </c>
      <c r="M1054" s="112">
        <f t="shared" si="657"/>
        <v>5885.9911075718355</v>
      </c>
      <c r="N1054" s="113">
        <f t="shared" si="657"/>
        <v>96414</v>
      </c>
      <c r="O1054" s="113">
        <f t="shared" si="657"/>
        <v>12796.336850487756</v>
      </c>
      <c r="P1054" s="114">
        <f t="shared" si="657"/>
        <v>8600</v>
      </c>
      <c r="Q1054" s="114">
        <f t="shared" si="657"/>
        <v>12700</v>
      </c>
      <c r="R1054" s="88">
        <f t="shared" si="657"/>
        <v>25088</v>
      </c>
      <c r="S1054" s="90">
        <f t="shared" si="657"/>
        <v>0</v>
      </c>
      <c r="T1054" s="90"/>
      <c r="U1054" s="90"/>
      <c r="V1054" s="200">
        <f>V1056</f>
        <v>17000</v>
      </c>
      <c r="W1054" s="200">
        <f>W1056</f>
        <v>17000</v>
      </c>
      <c r="X1054" s="88">
        <f>X1056</f>
        <v>14500</v>
      </c>
      <c r="Y1054" s="171">
        <f>Y1056</f>
        <v>16500.3</v>
      </c>
      <c r="Z1054" s="171">
        <f>Z1056</f>
        <v>0</v>
      </c>
      <c r="AA1054" s="370" t="e">
        <f t="shared" ca="1" si="626"/>
        <v>#NAME?</v>
      </c>
      <c r="AB1054" s="171"/>
      <c r="AC1054" s="172">
        <f>AC1056</f>
        <v>8500</v>
      </c>
      <c r="AD1054" s="172">
        <f>AD1056</f>
        <v>8500</v>
      </c>
      <c r="AE1054" s="178">
        <f>O1054/M1054*100</f>
        <v>217.40326508523498</v>
      </c>
      <c r="AF1054" s="178">
        <f>P1054/O1054*100</f>
        <v>67.206733461945362</v>
      </c>
      <c r="AG1054" s="178">
        <f>Q1054/P1054*100</f>
        <v>147.67441860465115</v>
      </c>
      <c r="AH1054" s="178">
        <f>AC1054/Q1054*100</f>
        <v>66.929133858267718</v>
      </c>
      <c r="AI1054" s="171"/>
      <c r="AJ1054" s="171">
        <v>16500.3</v>
      </c>
      <c r="AK1054" s="171">
        <f t="shared" si="651"/>
        <v>67.761479591836732</v>
      </c>
      <c r="AL1054" s="171">
        <f t="shared" si="652"/>
        <v>85.294117647058826</v>
      </c>
      <c r="AM1054" s="171">
        <f t="shared" si="652"/>
        <v>113.79517241379308</v>
      </c>
      <c r="AN1054" s="90"/>
      <c r="AO1054" s="193"/>
      <c r="AP1054" s="193" t="e">
        <f t="shared" ca="1" si="624"/>
        <v>#NAME?</v>
      </c>
      <c r="AQ1054" s="200">
        <f>AQ1056</f>
        <v>13384.880000000001</v>
      </c>
      <c r="AR1054" s="204">
        <f t="shared" si="628"/>
        <v>67.761479591836732</v>
      </c>
      <c r="AS1054" s="204">
        <f t="shared" si="629"/>
        <v>100</v>
      </c>
      <c r="AT1054" s="204">
        <f t="shared" si="630"/>
        <v>67.761479591836732</v>
      </c>
      <c r="AU1054" s="204">
        <f t="shared" si="631"/>
        <v>78.734588235294126</v>
      </c>
      <c r="AV1054" s="204">
        <f t="shared" si="632"/>
        <v>53.351721938775512</v>
      </c>
    </row>
    <row r="1055" spans="1:48" ht="12" customHeight="1">
      <c r="A1055" s="53"/>
      <c r="B1055" s="53"/>
      <c r="C1055" s="53"/>
      <c r="D1055" s="53"/>
      <c r="E1055" s="53"/>
      <c r="F1055" s="53"/>
      <c r="G1055" s="53"/>
      <c r="H1055" s="1"/>
      <c r="I1055" s="397"/>
      <c r="J1055" s="229"/>
      <c r="K1055" s="18"/>
      <c r="L1055" s="466"/>
      <c r="M1055" s="466"/>
      <c r="N1055" s="467"/>
      <c r="O1055" s="467"/>
      <c r="P1055" s="468"/>
      <c r="Q1055" s="468"/>
      <c r="R1055" s="282"/>
      <c r="S1055" s="222"/>
      <c r="T1055" s="222"/>
      <c r="U1055" s="222"/>
      <c r="V1055" s="200"/>
      <c r="W1055" s="200"/>
      <c r="X1055" s="167"/>
      <c r="Y1055" s="424"/>
      <c r="Z1055" s="424"/>
      <c r="AA1055" s="370" t="e">
        <f t="shared" ca="1" si="626"/>
        <v>#NAME?</v>
      </c>
      <c r="AB1055" s="223"/>
      <c r="AC1055" s="224"/>
      <c r="AD1055" s="224"/>
      <c r="AE1055" s="178"/>
      <c r="AF1055" s="178"/>
      <c r="AG1055" s="178"/>
      <c r="AH1055" s="178"/>
      <c r="AI1055" s="223"/>
      <c r="AJ1055" s="424"/>
      <c r="AK1055" s="171"/>
      <c r="AL1055" s="171"/>
      <c r="AM1055" s="171"/>
      <c r="AN1055" s="222"/>
      <c r="AO1055" s="193"/>
      <c r="AP1055" s="193" t="e">
        <f t="shared" ref="AP1055:AP1115" ca="1" si="658">__xlfn.ISFORMULA(X1055)</f>
        <v>#NAME?</v>
      </c>
      <c r="AQ1055" s="200"/>
      <c r="AR1055" s="204"/>
      <c r="AS1055" s="204"/>
      <c r="AT1055" s="204"/>
      <c r="AU1055" s="204"/>
      <c r="AV1055" s="204"/>
    </row>
    <row r="1056" spans="1:48" ht="12" customHeight="1">
      <c r="A1056" s="24"/>
      <c r="B1056" s="24"/>
      <c r="C1056" s="24"/>
      <c r="D1056" s="24"/>
      <c r="E1056" s="24"/>
      <c r="F1056" s="24"/>
      <c r="G1056" s="24"/>
      <c r="H1056" s="393"/>
      <c r="I1056" s="465"/>
      <c r="J1056" s="281">
        <v>4</v>
      </c>
      <c r="K1056" s="2" t="s">
        <v>778</v>
      </c>
      <c r="L1056" s="112">
        <f t="shared" ref="L1056:AD1057" si="659">L1057</f>
        <v>44348</v>
      </c>
      <c r="M1056" s="112">
        <f t="shared" si="659"/>
        <v>5885.9911075718355</v>
      </c>
      <c r="N1056" s="113">
        <f t="shared" si="659"/>
        <v>96414</v>
      </c>
      <c r="O1056" s="113">
        <f t="shared" si="659"/>
        <v>12796.336850487756</v>
      </c>
      <c r="P1056" s="114">
        <f t="shared" si="659"/>
        <v>8600</v>
      </c>
      <c r="Q1056" s="114">
        <f t="shared" si="659"/>
        <v>12700</v>
      </c>
      <c r="R1056" s="88">
        <f t="shared" si="659"/>
        <v>25088</v>
      </c>
      <c r="S1056" s="90">
        <f t="shared" si="659"/>
        <v>0</v>
      </c>
      <c r="T1056" s="90"/>
      <c r="U1056" s="90"/>
      <c r="V1056" s="200">
        <f>V1057</f>
        <v>17000</v>
      </c>
      <c r="W1056" s="200">
        <f t="shared" si="659"/>
        <v>17000</v>
      </c>
      <c r="X1056" s="88">
        <f t="shared" si="659"/>
        <v>14500</v>
      </c>
      <c r="Y1056" s="171">
        <f t="shared" si="659"/>
        <v>16500.3</v>
      </c>
      <c r="Z1056" s="171">
        <f t="shared" si="659"/>
        <v>0</v>
      </c>
      <c r="AA1056" s="370" t="e">
        <f t="shared" ca="1" si="626"/>
        <v>#NAME?</v>
      </c>
      <c r="AB1056" s="171"/>
      <c r="AC1056" s="172">
        <f t="shared" si="659"/>
        <v>8500</v>
      </c>
      <c r="AD1056" s="172">
        <f t="shared" si="659"/>
        <v>8500</v>
      </c>
      <c r="AE1056" s="178">
        <f>O1056/M1056*100</f>
        <v>217.40326508523498</v>
      </c>
      <c r="AF1056" s="178">
        <f t="shared" ref="AF1056:AG1058" si="660">P1056/O1056*100</f>
        <v>67.206733461945362</v>
      </c>
      <c r="AG1056" s="178">
        <f t="shared" si="660"/>
        <v>147.67441860465115</v>
      </c>
      <c r="AH1056" s="178">
        <f>AC1056/Q1056*100</f>
        <v>66.929133858267718</v>
      </c>
      <c r="AI1056" s="171"/>
      <c r="AJ1056" s="171">
        <v>16500.3</v>
      </c>
      <c r="AK1056" s="171">
        <f t="shared" si="651"/>
        <v>67.761479591836732</v>
      </c>
      <c r="AL1056" s="171">
        <f t="shared" si="652"/>
        <v>85.294117647058826</v>
      </c>
      <c r="AM1056" s="171">
        <f t="shared" si="652"/>
        <v>113.79517241379308</v>
      </c>
      <c r="AN1056" s="90"/>
      <c r="AO1056" s="193"/>
      <c r="AP1056" s="193" t="e">
        <f t="shared" ca="1" si="658"/>
        <v>#NAME?</v>
      </c>
      <c r="AQ1056" s="200">
        <f>AQ1057</f>
        <v>13384.880000000001</v>
      </c>
      <c r="AR1056" s="204">
        <f t="shared" si="628"/>
        <v>67.761479591836732</v>
      </c>
      <c r="AS1056" s="204">
        <f t="shared" si="629"/>
        <v>100</v>
      </c>
      <c r="AT1056" s="204">
        <f t="shared" si="630"/>
        <v>67.761479591836732</v>
      </c>
      <c r="AU1056" s="204">
        <f t="shared" si="631"/>
        <v>78.734588235294126</v>
      </c>
      <c r="AV1056" s="204">
        <f t="shared" si="632"/>
        <v>53.351721938775512</v>
      </c>
    </row>
    <row r="1057" spans="1:48" ht="12" customHeight="1">
      <c r="A1057" s="301"/>
      <c r="B1057" s="301"/>
      <c r="C1057" s="301"/>
      <c r="D1057" s="301"/>
      <c r="E1057" s="301"/>
      <c r="F1057" s="301"/>
      <c r="G1057" s="301"/>
      <c r="H1057" s="307"/>
      <c r="I1057" s="350"/>
      <c r="J1057" s="302">
        <v>42</v>
      </c>
      <c r="K1057" s="343" t="s">
        <v>612</v>
      </c>
      <c r="L1057" s="112">
        <f t="shared" si="659"/>
        <v>44348</v>
      </c>
      <c r="M1057" s="112">
        <f t="shared" si="659"/>
        <v>5885.9911075718355</v>
      </c>
      <c r="N1057" s="113">
        <f t="shared" si="659"/>
        <v>96414</v>
      </c>
      <c r="O1057" s="113">
        <f t="shared" si="659"/>
        <v>12796.336850487756</v>
      </c>
      <c r="P1057" s="114">
        <f t="shared" si="659"/>
        <v>8600</v>
      </c>
      <c r="Q1057" s="114">
        <f t="shared" si="659"/>
        <v>12700</v>
      </c>
      <c r="R1057" s="88">
        <f t="shared" si="659"/>
        <v>25088</v>
      </c>
      <c r="S1057" s="90">
        <f t="shared" si="659"/>
        <v>0</v>
      </c>
      <c r="T1057" s="90"/>
      <c r="U1057" s="90"/>
      <c r="V1057" s="200">
        <f>V1058</f>
        <v>17000</v>
      </c>
      <c r="W1057" s="200">
        <f t="shared" si="659"/>
        <v>17000</v>
      </c>
      <c r="X1057" s="88">
        <f t="shared" si="659"/>
        <v>14500</v>
      </c>
      <c r="Y1057" s="171">
        <f t="shared" si="659"/>
        <v>16500.3</v>
      </c>
      <c r="Z1057" s="171">
        <f t="shared" si="659"/>
        <v>0</v>
      </c>
      <c r="AA1057" s="370" t="e">
        <f t="shared" ref="AA1057:AA1115" ca="1" si="661">__xlfn.ISFORMULA(R1057)</f>
        <v>#NAME?</v>
      </c>
      <c r="AB1057" s="171"/>
      <c r="AC1057" s="172">
        <f t="shared" si="659"/>
        <v>8500</v>
      </c>
      <c r="AD1057" s="172">
        <f t="shared" si="659"/>
        <v>8500</v>
      </c>
      <c r="AE1057" s="178">
        <f>O1057/M1057*100</f>
        <v>217.40326508523498</v>
      </c>
      <c r="AF1057" s="178">
        <f t="shared" si="660"/>
        <v>67.206733461945362</v>
      </c>
      <c r="AG1057" s="178">
        <f t="shared" si="660"/>
        <v>147.67441860465115</v>
      </c>
      <c r="AH1057" s="178">
        <f>AC1057/Q1057*100</f>
        <v>66.929133858267718</v>
      </c>
      <c r="AI1057" s="171"/>
      <c r="AJ1057" s="171">
        <v>16500.3</v>
      </c>
      <c r="AK1057" s="171">
        <f t="shared" si="651"/>
        <v>67.761479591836732</v>
      </c>
      <c r="AL1057" s="171">
        <f t="shared" si="652"/>
        <v>85.294117647058826</v>
      </c>
      <c r="AM1057" s="171">
        <f t="shared" si="652"/>
        <v>113.79517241379308</v>
      </c>
      <c r="AN1057" s="90"/>
      <c r="AO1057" s="193"/>
      <c r="AP1057" s="193" t="e">
        <f t="shared" ca="1" si="658"/>
        <v>#NAME?</v>
      </c>
      <c r="AQ1057" s="200">
        <f>AQ1058</f>
        <v>13384.880000000001</v>
      </c>
      <c r="AR1057" s="204">
        <f t="shared" si="628"/>
        <v>67.761479591836732</v>
      </c>
      <c r="AS1057" s="204">
        <f t="shared" si="629"/>
        <v>100</v>
      </c>
      <c r="AT1057" s="204">
        <f t="shared" si="630"/>
        <v>67.761479591836732</v>
      </c>
      <c r="AU1057" s="204">
        <f t="shared" si="631"/>
        <v>78.734588235294126</v>
      </c>
      <c r="AV1057" s="204">
        <f t="shared" si="632"/>
        <v>53.351721938775512</v>
      </c>
    </row>
    <row r="1058" spans="1:48" ht="12" customHeight="1">
      <c r="A1058" s="62"/>
      <c r="B1058" s="62"/>
      <c r="C1058" s="62"/>
      <c r="D1058" s="62"/>
      <c r="E1058" s="62"/>
      <c r="F1058" s="62"/>
      <c r="G1058" s="62"/>
      <c r="H1058" s="304"/>
      <c r="I1058" s="464"/>
      <c r="J1058" s="303">
        <v>422</v>
      </c>
      <c r="K1058" s="19" t="s">
        <v>419</v>
      </c>
      <c r="L1058" s="112">
        <f t="shared" ref="L1058:S1058" si="662">L1059+L1060</f>
        <v>44348</v>
      </c>
      <c r="M1058" s="112">
        <f t="shared" si="662"/>
        <v>5885.9911075718355</v>
      </c>
      <c r="N1058" s="113">
        <f t="shared" si="662"/>
        <v>96414</v>
      </c>
      <c r="O1058" s="113">
        <f t="shared" si="662"/>
        <v>12796.336850487756</v>
      </c>
      <c r="P1058" s="114">
        <f t="shared" si="662"/>
        <v>8600</v>
      </c>
      <c r="Q1058" s="114">
        <f t="shared" si="662"/>
        <v>12700</v>
      </c>
      <c r="R1058" s="88">
        <f t="shared" si="662"/>
        <v>25088</v>
      </c>
      <c r="S1058" s="90">
        <f t="shared" si="662"/>
        <v>0</v>
      </c>
      <c r="T1058" s="90"/>
      <c r="U1058" s="90"/>
      <c r="V1058" s="200">
        <f>V1059+V1060</f>
        <v>17000</v>
      </c>
      <c r="W1058" s="200">
        <f>W1059+W1060</f>
        <v>17000</v>
      </c>
      <c r="X1058" s="88">
        <f>X1059+X1060</f>
        <v>14500</v>
      </c>
      <c r="Y1058" s="171">
        <f>Y1059+Y1060</f>
        <v>16500.3</v>
      </c>
      <c r="Z1058" s="171">
        <f>Z1059+Z1060</f>
        <v>0</v>
      </c>
      <c r="AA1058" s="370" t="e">
        <f t="shared" ca="1" si="661"/>
        <v>#NAME?</v>
      </c>
      <c r="AB1058" s="171"/>
      <c r="AC1058" s="172">
        <f>AC1059+AC1060</f>
        <v>8500</v>
      </c>
      <c r="AD1058" s="172">
        <f>AD1059+AD1060</f>
        <v>8500</v>
      </c>
      <c r="AE1058" s="178">
        <f>O1058/M1058*100</f>
        <v>217.40326508523498</v>
      </c>
      <c r="AF1058" s="178">
        <f t="shared" si="660"/>
        <v>67.206733461945362</v>
      </c>
      <c r="AG1058" s="178">
        <f t="shared" si="660"/>
        <v>147.67441860465115</v>
      </c>
      <c r="AH1058" s="178">
        <f>AC1058/Q1058*100</f>
        <v>66.929133858267718</v>
      </c>
      <c r="AI1058" s="171"/>
      <c r="AJ1058" s="171">
        <v>16500.3</v>
      </c>
      <c r="AK1058" s="171">
        <f t="shared" si="651"/>
        <v>67.761479591836732</v>
      </c>
      <c r="AL1058" s="171">
        <f t="shared" si="652"/>
        <v>85.294117647058826</v>
      </c>
      <c r="AM1058" s="171">
        <f t="shared" si="652"/>
        <v>113.79517241379308</v>
      </c>
      <c r="AN1058" s="90"/>
      <c r="AO1058" s="193"/>
      <c r="AP1058" s="193" t="e">
        <f t="shared" ca="1" si="658"/>
        <v>#NAME?</v>
      </c>
      <c r="AQ1058" s="200">
        <f>AQ1059+AQ1060</f>
        <v>13384.880000000001</v>
      </c>
      <c r="AR1058" s="204">
        <f t="shared" si="628"/>
        <v>67.761479591836732</v>
      </c>
      <c r="AS1058" s="204">
        <f t="shared" si="629"/>
        <v>100</v>
      </c>
      <c r="AT1058" s="204">
        <f t="shared" si="630"/>
        <v>67.761479591836732</v>
      </c>
      <c r="AU1058" s="204">
        <f t="shared" si="631"/>
        <v>78.734588235294126</v>
      </c>
      <c r="AV1058" s="204">
        <f t="shared" si="632"/>
        <v>53.351721938775512</v>
      </c>
    </row>
    <row r="1059" spans="1:48" ht="12" customHeight="1">
      <c r="A1059" s="53"/>
      <c r="B1059" s="53"/>
      <c r="C1059" s="53"/>
      <c r="D1059" s="53"/>
      <c r="E1059" s="53"/>
      <c r="F1059" s="53"/>
      <c r="G1059" s="53"/>
      <c r="H1059" s="1"/>
      <c r="I1059" s="397"/>
      <c r="J1059" s="229">
        <v>4221</v>
      </c>
      <c r="K1059" s="18" t="s">
        <v>303</v>
      </c>
      <c r="L1059" s="130">
        <v>5040</v>
      </c>
      <c r="M1059" s="130">
        <f>5040/7.5345</f>
        <v>668.92295440971532</v>
      </c>
      <c r="N1059" s="131"/>
      <c r="O1059" s="131"/>
      <c r="P1059" s="132"/>
      <c r="Q1059" s="132"/>
      <c r="R1059" s="159">
        <v>1448</v>
      </c>
      <c r="S1059" s="165"/>
      <c r="T1059" s="165"/>
      <c r="U1059" s="165"/>
      <c r="V1059" s="200"/>
      <c r="W1059" s="200"/>
      <c r="X1059" s="164"/>
      <c r="Y1059" s="378"/>
      <c r="Z1059" s="378"/>
      <c r="AA1059" s="370" t="e">
        <f t="shared" ca="1" si="661"/>
        <v>#NAME?</v>
      </c>
      <c r="AB1059" s="183"/>
      <c r="AC1059" s="178"/>
      <c r="AD1059" s="178"/>
      <c r="AE1059" s="178">
        <f>O1059/M1059*100</f>
        <v>0</v>
      </c>
      <c r="AF1059" s="178"/>
      <c r="AG1059" s="178"/>
      <c r="AH1059" s="178"/>
      <c r="AI1059" s="183"/>
      <c r="AJ1059" s="378"/>
      <c r="AK1059" s="171">
        <f t="shared" si="651"/>
        <v>0</v>
      </c>
      <c r="AL1059" s="171"/>
      <c r="AM1059" s="171"/>
      <c r="AN1059" s="165"/>
      <c r="AO1059" s="193"/>
      <c r="AP1059" s="193" t="e">
        <f t="shared" ca="1" si="658"/>
        <v>#NAME?</v>
      </c>
      <c r="AQ1059" s="200">
        <v>1039.8800000000001</v>
      </c>
      <c r="AR1059" s="204">
        <f t="shared" ref="AR1059:AR1120" si="663">V1059/R1059*100</f>
        <v>0</v>
      </c>
      <c r="AS1059" s="204"/>
      <c r="AT1059" s="204">
        <f t="shared" ref="AT1059:AT1120" si="664">W1059/R1059*100</f>
        <v>0</v>
      </c>
      <c r="AU1059" s="204"/>
      <c r="AV1059" s="204">
        <f t="shared" ref="AV1059:AV1120" si="665">AQ1059/R1059*100</f>
        <v>71.814917127071837</v>
      </c>
    </row>
    <row r="1060" spans="1:48" ht="12" customHeight="1">
      <c r="A1060" s="53"/>
      <c r="B1060" s="53"/>
      <c r="C1060" s="53"/>
      <c r="D1060" s="53"/>
      <c r="E1060" s="53"/>
      <c r="F1060" s="53"/>
      <c r="G1060" s="53"/>
      <c r="H1060" s="1" t="s">
        <v>820</v>
      </c>
      <c r="I1060" s="397">
        <v>911</v>
      </c>
      <c r="J1060" s="229">
        <v>4227</v>
      </c>
      <c r="K1060" s="18" t="s">
        <v>423</v>
      </c>
      <c r="L1060" s="130">
        <v>39308</v>
      </c>
      <c r="M1060" s="130">
        <f>39308/7.5345</f>
        <v>5217.0681531621203</v>
      </c>
      <c r="N1060" s="131">
        <v>96414</v>
      </c>
      <c r="O1060" s="131">
        <f>N1060/7.5345</f>
        <v>12796.336850487756</v>
      </c>
      <c r="P1060" s="132">
        <v>8600</v>
      </c>
      <c r="Q1060" s="163">
        <v>12700</v>
      </c>
      <c r="R1060" s="159">
        <v>23640</v>
      </c>
      <c r="S1060" s="165"/>
      <c r="T1060" s="165"/>
      <c r="U1060" s="165"/>
      <c r="V1060" s="200">
        <v>17000</v>
      </c>
      <c r="W1060" s="200">
        <v>17000</v>
      </c>
      <c r="X1060" s="164">
        <v>14500</v>
      </c>
      <c r="Y1060" s="378">
        <v>16500.3</v>
      </c>
      <c r="Z1060" s="378"/>
      <c r="AA1060" s="370" t="e">
        <f t="shared" ca="1" si="661"/>
        <v>#NAME?</v>
      </c>
      <c r="AB1060" s="183"/>
      <c r="AC1060" s="178">
        <v>8500</v>
      </c>
      <c r="AD1060" s="178">
        <v>8500</v>
      </c>
      <c r="AE1060" s="178">
        <f>O1060/M1060*100</f>
        <v>245.27831484685052</v>
      </c>
      <c r="AF1060" s="178">
        <f>P1060/O1060*100</f>
        <v>67.206733461945362</v>
      </c>
      <c r="AG1060" s="178">
        <f>Q1060/P1060*100</f>
        <v>147.67441860465115</v>
      </c>
      <c r="AH1060" s="178">
        <f>AC1060/Q1060*100</f>
        <v>66.929133858267718</v>
      </c>
      <c r="AI1060" s="183"/>
      <c r="AJ1060" s="378">
        <v>16500.3</v>
      </c>
      <c r="AK1060" s="171">
        <f t="shared" si="651"/>
        <v>71.912013536379021</v>
      </c>
      <c r="AL1060" s="171">
        <f t="shared" si="652"/>
        <v>85.294117647058826</v>
      </c>
      <c r="AM1060" s="171">
        <f t="shared" si="652"/>
        <v>113.79517241379308</v>
      </c>
      <c r="AN1060" s="165"/>
      <c r="AO1060" s="193"/>
      <c r="AP1060" s="193" t="e">
        <f t="shared" ca="1" si="658"/>
        <v>#NAME?</v>
      </c>
      <c r="AQ1060" s="200">
        <v>12345</v>
      </c>
      <c r="AR1060" s="204">
        <f t="shared" si="663"/>
        <v>71.912013536379021</v>
      </c>
      <c r="AS1060" s="204">
        <f t="shared" ref="AS1060:AS1120" si="666">W1060/V1060*100</f>
        <v>100</v>
      </c>
      <c r="AT1060" s="204">
        <f t="shared" si="664"/>
        <v>71.912013536379021</v>
      </c>
      <c r="AU1060" s="204">
        <f t="shared" ref="AU1060:AU1120" si="667">AQ1060/W1060*100</f>
        <v>72.617647058823536</v>
      </c>
      <c r="AV1060" s="204">
        <f t="shared" si="665"/>
        <v>52.220812182741113</v>
      </c>
    </row>
    <row r="1061" spans="1:48" ht="12" customHeight="1">
      <c r="A1061" s="42"/>
      <c r="B1061" s="42"/>
      <c r="C1061" s="42"/>
      <c r="D1061" s="42"/>
      <c r="E1061" s="42"/>
      <c r="F1061" s="42"/>
      <c r="G1061" s="42"/>
      <c r="H1061" s="308"/>
      <c r="I1061" s="14"/>
      <c r="J1061" s="2"/>
      <c r="K1061" s="281"/>
      <c r="L1061" s="85"/>
      <c r="M1061" s="85"/>
      <c r="N1061" s="86"/>
      <c r="O1061" s="86"/>
      <c r="P1061" s="87"/>
      <c r="Q1061" s="87"/>
      <c r="R1061" s="160"/>
      <c r="S1061" s="161"/>
      <c r="T1061" s="161"/>
      <c r="U1061" s="161"/>
      <c r="V1061" s="200"/>
      <c r="W1061" s="200"/>
      <c r="X1061" s="361"/>
      <c r="Y1061" s="373"/>
      <c r="Z1061" s="373"/>
      <c r="AA1061" s="370" t="e">
        <f t="shared" ca="1" si="661"/>
        <v>#NAME?</v>
      </c>
      <c r="AB1061" s="181"/>
      <c r="AC1061" s="182"/>
      <c r="AD1061" s="182"/>
      <c r="AE1061" s="178"/>
      <c r="AF1061" s="178"/>
      <c r="AG1061" s="178"/>
      <c r="AH1061" s="178"/>
      <c r="AI1061" s="181"/>
      <c r="AJ1061" s="373"/>
      <c r="AK1061" s="171"/>
      <c r="AL1061" s="171"/>
      <c r="AM1061" s="171"/>
      <c r="AN1061" s="161"/>
      <c r="AO1061" s="193"/>
      <c r="AP1061" s="193" t="e">
        <f t="shared" ca="1" si="658"/>
        <v>#NAME?</v>
      </c>
      <c r="AQ1061" s="200"/>
      <c r="AR1061" s="204"/>
      <c r="AS1061" s="204"/>
      <c r="AT1061" s="204"/>
      <c r="AU1061" s="204"/>
      <c r="AV1061" s="204"/>
    </row>
    <row r="1062" spans="1:48" ht="12" customHeight="1">
      <c r="A1062" s="524"/>
      <c r="B1062" s="525"/>
      <c r="C1062" s="525"/>
      <c r="D1062" s="525"/>
      <c r="E1062" s="525"/>
      <c r="F1062" s="525"/>
      <c r="G1062" s="526"/>
      <c r="H1062" s="551" t="s">
        <v>821</v>
      </c>
      <c r="I1062" s="559"/>
      <c r="J1062" s="560" t="s">
        <v>822</v>
      </c>
      <c r="K1062" s="291"/>
      <c r="L1062" s="112">
        <f t="shared" ref="L1062:S1062" si="668">L1064</f>
        <v>548432</v>
      </c>
      <c r="M1062" s="112">
        <f t="shared" si="668"/>
        <v>72789.435264450178</v>
      </c>
      <c r="N1062" s="113">
        <f t="shared" si="668"/>
        <v>539018</v>
      </c>
      <c r="O1062" s="113">
        <f t="shared" si="668"/>
        <v>71539.98274603489</v>
      </c>
      <c r="P1062" s="114">
        <f t="shared" si="668"/>
        <v>88300</v>
      </c>
      <c r="Q1062" s="114">
        <f t="shared" si="668"/>
        <v>90100</v>
      </c>
      <c r="R1062" s="88">
        <f t="shared" si="668"/>
        <v>76157</v>
      </c>
      <c r="S1062" s="90">
        <f t="shared" si="668"/>
        <v>0</v>
      </c>
      <c r="T1062" s="90"/>
      <c r="U1062" s="90"/>
      <c r="V1062" s="200">
        <f>V1064</f>
        <v>121500</v>
      </c>
      <c r="W1062" s="200">
        <f>W1064</f>
        <v>121500</v>
      </c>
      <c r="X1062" s="88">
        <f>X1064</f>
        <v>122200</v>
      </c>
      <c r="Y1062" s="171">
        <f>Y1064</f>
        <v>132200</v>
      </c>
      <c r="Z1062" s="171">
        <f>Z1064</f>
        <v>0</v>
      </c>
      <c r="AA1062" s="370" t="e">
        <f t="shared" ca="1" si="661"/>
        <v>#NAME?</v>
      </c>
      <c r="AB1062" s="171"/>
      <c r="AC1062" s="172">
        <f>AC1064</f>
        <v>120700</v>
      </c>
      <c r="AD1062" s="172">
        <f>AD1064</f>
        <v>120700</v>
      </c>
      <c r="AE1062" s="178">
        <f>O1062/M1062*100</f>
        <v>98.283469965282848</v>
      </c>
      <c r="AF1062" s="178">
        <f>P1062/O1062*100</f>
        <v>123.42748294120052</v>
      </c>
      <c r="AG1062" s="178">
        <f>Q1062/P1062*100</f>
        <v>102.03850509626274</v>
      </c>
      <c r="AH1062" s="178">
        <f>AC1062/Q1062*100</f>
        <v>133.96226415094338</v>
      </c>
      <c r="AI1062" s="171"/>
      <c r="AJ1062" s="171">
        <v>132200</v>
      </c>
      <c r="AK1062" s="171">
        <f t="shared" si="651"/>
        <v>159.53884738106805</v>
      </c>
      <c r="AL1062" s="171">
        <f t="shared" si="652"/>
        <v>100.57613168724279</v>
      </c>
      <c r="AM1062" s="171">
        <f t="shared" si="652"/>
        <v>108.18330605564648</v>
      </c>
      <c r="AN1062" s="90"/>
      <c r="AO1062" s="193"/>
      <c r="AP1062" s="193" t="e">
        <f t="shared" ca="1" si="658"/>
        <v>#NAME?</v>
      </c>
      <c r="AQ1062" s="200">
        <f>AQ1064</f>
        <v>119985.42</v>
      </c>
      <c r="AR1062" s="204">
        <f t="shared" si="663"/>
        <v>159.53884738106805</v>
      </c>
      <c r="AS1062" s="204">
        <f t="shared" si="666"/>
        <v>100</v>
      </c>
      <c r="AT1062" s="204">
        <f t="shared" si="664"/>
        <v>159.53884738106805</v>
      </c>
      <c r="AU1062" s="204">
        <f t="shared" si="667"/>
        <v>98.75343209876543</v>
      </c>
      <c r="AV1062" s="204">
        <f t="shared" si="665"/>
        <v>157.55008731961607</v>
      </c>
    </row>
    <row r="1063" spans="1:48" ht="12" customHeight="1">
      <c r="A1063" s="552"/>
      <c r="B1063" s="553"/>
      <c r="C1063" s="553"/>
      <c r="D1063" s="553"/>
      <c r="E1063" s="553"/>
      <c r="F1063" s="553"/>
      <c r="G1063" s="554"/>
      <c r="H1063" s="20" t="s">
        <v>823</v>
      </c>
      <c r="I1063" s="561"/>
      <c r="J1063" s="562"/>
      <c r="K1063" s="563" t="s">
        <v>824</v>
      </c>
      <c r="L1063" s="335"/>
      <c r="M1063" s="335"/>
      <c r="N1063" s="336"/>
      <c r="O1063" s="336"/>
      <c r="P1063" s="337"/>
      <c r="Q1063" s="337"/>
      <c r="R1063" s="359"/>
      <c r="S1063" s="360"/>
      <c r="T1063" s="360"/>
      <c r="U1063" s="360"/>
      <c r="V1063" s="200"/>
      <c r="W1063" s="200"/>
      <c r="X1063" s="564"/>
      <c r="Y1063" s="565"/>
      <c r="Z1063" s="565"/>
      <c r="AA1063" s="370" t="e">
        <f t="shared" ca="1" si="661"/>
        <v>#NAME?</v>
      </c>
      <c r="AB1063" s="371"/>
      <c r="AC1063" s="372"/>
      <c r="AD1063" s="372"/>
      <c r="AE1063" s="178"/>
      <c r="AF1063" s="178"/>
      <c r="AG1063" s="178"/>
      <c r="AH1063" s="178"/>
      <c r="AI1063" s="371"/>
      <c r="AJ1063" s="565"/>
      <c r="AK1063" s="171"/>
      <c r="AL1063" s="171"/>
      <c r="AM1063" s="171"/>
      <c r="AN1063" s="360"/>
      <c r="AO1063" s="193"/>
      <c r="AP1063" s="193" t="e">
        <f t="shared" ca="1" si="658"/>
        <v>#NAME?</v>
      </c>
      <c r="AQ1063" s="200"/>
      <c r="AR1063" s="204"/>
      <c r="AS1063" s="204"/>
      <c r="AT1063" s="204"/>
      <c r="AU1063" s="204"/>
      <c r="AV1063" s="204"/>
    </row>
    <row r="1064" spans="1:48" ht="12" customHeight="1">
      <c r="A1064" s="555" t="s">
        <v>825</v>
      </c>
      <c r="B1064" s="556"/>
      <c r="C1064" s="556"/>
      <c r="D1064" s="556"/>
      <c r="E1064" s="556"/>
      <c r="F1064" s="556"/>
      <c r="G1064" s="557"/>
      <c r="H1064" s="438"/>
      <c r="I1064" s="489" t="s">
        <v>826</v>
      </c>
      <c r="J1064" s="490"/>
      <c r="K1064" s="297"/>
      <c r="L1064" s="112">
        <f t="shared" ref="L1064:S1064" si="669">L1065+L1109</f>
        <v>548432</v>
      </c>
      <c r="M1064" s="112">
        <f t="shared" si="669"/>
        <v>72789.435264450178</v>
      </c>
      <c r="N1064" s="113">
        <f t="shared" si="669"/>
        <v>539018</v>
      </c>
      <c r="O1064" s="113">
        <f t="shared" si="669"/>
        <v>71539.98274603489</v>
      </c>
      <c r="P1064" s="114">
        <f t="shared" si="669"/>
        <v>88300</v>
      </c>
      <c r="Q1064" s="114">
        <f t="shared" si="669"/>
        <v>90100</v>
      </c>
      <c r="R1064" s="88">
        <f t="shared" si="669"/>
        <v>76157</v>
      </c>
      <c r="S1064" s="90">
        <f t="shared" si="669"/>
        <v>0</v>
      </c>
      <c r="T1064" s="90"/>
      <c r="U1064" s="90"/>
      <c r="V1064" s="200">
        <f>V1065+V1109</f>
        <v>121500</v>
      </c>
      <c r="W1064" s="200">
        <f>W1065+W1109</f>
        <v>121500</v>
      </c>
      <c r="X1064" s="88">
        <f>X1065+X1109</f>
        <v>122200</v>
      </c>
      <c r="Y1064" s="171">
        <f>Y1065+Y1109</f>
        <v>132200</v>
      </c>
      <c r="Z1064" s="171">
        <f>Z1065+Z1109</f>
        <v>0</v>
      </c>
      <c r="AA1064" s="370" t="e">
        <f t="shared" ca="1" si="661"/>
        <v>#NAME?</v>
      </c>
      <c r="AB1064" s="171"/>
      <c r="AC1064" s="172">
        <f>AC1065+AC1109</f>
        <v>120700</v>
      </c>
      <c r="AD1064" s="172">
        <f>AD1065+AD1109</f>
        <v>120700</v>
      </c>
      <c r="AE1064" s="178">
        <f>O1064/M1064*100</f>
        <v>98.283469965282848</v>
      </c>
      <c r="AF1064" s="178">
        <f>P1064/O1064*100</f>
        <v>123.42748294120052</v>
      </c>
      <c r="AG1064" s="178">
        <f>Q1064/P1064*100</f>
        <v>102.03850509626274</v>
      </c>
      <c r="AH1064" s="178">
        <f>AC1064/Q1064*100</f>
        <v>133.96226415094338</v>
      </c>
      <c r="AI1064" s="171"/>
      <c r="AJ1064" s="171">
        <v>132200</v>
      </c>
      <c r="AK1064" s="171">
        <f t="shared" si="651"/>
        <v>159.53884738106805</v>
      </c>
      <c r="AL1064" s="171">
        <f t="shared" si="652"/>
        <v>100.57613168724279</v>
      </c>
      <c r="AM1064" s="171">
        <f t="shared" si="652"/>
        <v>108.18330605564648</v>
      </c>
      <c r="AN1064" s="90"/>
      <c r="AO1064" s="193"/>
      <c r="AP1064" s="193" t="e">
        <f t="shared" ca="1" si="658"/>
        <v>#NAME?</v>
      </c>
      <c r="AQ1064" s="200">
        <f>AQ1065+AQ1109</f>
        <v>119985.42</v>
      </c>
      <c r="AR1064" s="204">
        <f t="shared" si="663"/>
        <v>159.53884738106805</v>
      </c>
      <c r="AS1064" s="204">
        <f t="shared" si="666"/>
        <v>100</v>
      </c>
      <c r="AT1064" s="204">
        <f t="shared" si="664"/>
        <v>159.53884738106805</v>
      </c>
      <c r="AU1064" s="204">
        <f t="shared" si="667"/>
        <v>98.75343209876543</v>
      </c>
      <c r="AV1064" s="204">
        <f t="shared" si="665"/>
        <v>157.55008731961607</v>
      </c>
    </row>
    <row r="1065" spans="1:48" ht="12" customHeight="1">
      <c r="A1065" s="390" t="s">
        <v>331</v>
      </c>
      <c r="B1065" s="391"/>
      <c r="C1065" s="391"/>
      <c r="D1065" s="391"/>
      <c r="E1065" s="391"/>
      <c r="F1065" s="391"/>
      <c r="G1065" s="391"/>
      <c r="H1065" s="392"/>
      <c r="I1065" s="485" t="s">
        <v>827</v>
      </c>
      <c r="J1065" s="486"/>
      <c r="K1065" s="300"/>
      <c r="L1065" s="112">
        <f t="shared" ref="L1065:S1065" si="670">L1067</f>
        <v>474243</v>
      </c>
      <c r="M1065" s="112">
        <f t="shared" si="670"/>
        <v>62942.862830977494</v>
      </c>
      <c r="N1065" s="113">
        <f t="shared" si="670"/>
        <v>446604</v>
      </c>
      <c r="O1065" s="113">
        <f t="shared" si="670"/>
        <v>59274.537129205644</v>
      </c>
      <c r="P1065" s="114">
        <f t="shared" si="670"/>
        <v>74800</v>
      </c>
      <c r="Q1065" s="114">
        <f t="shared" si="670"/>
        <v>76600</v>
      </c>
      <c r="R1065" s="88">
        <f t="shared" si="670"/>
        <v>65942</v>
      </c>
      <c r="S1065" s="90">
        <f t="shared" si="670"/>
        <v>0</v>
      </c>
      <c r="T1065" s="90"/>
      <c r="U1065" s="90"/>
      <c r="V1065" s="200">
        <f>V1067</f>
        <v>97000</v>
      </c>
      <c r="W1065" s="200">
        <f>W1067</f>
        <v>97000</v>
      </c>
      <c r="X1065" s="88">
        <f>X1067</f>
        <v>107200</v>
      </c>
      <c r="Y1065" s="171">
        <f>Y1067</f>
        <v>116200</v>
      </c>
      <c r="Z1065" s="171">
        <f>Z1067</f>
        <v>0</v>
      </c>
      <c r="AA1065" s="370" t="e">
        <f t="shared" ca="1" si="661"/>
        <v>#NAME?</v>
      </c>
      <c r="AB1065" s="171"/>
      <c r="AC1065" s="172">
        <f>AC1067</f>
        <v>106700</v>
      </c>
      <c r="AD1065" s="172">
        <f>AD1067</f>
        <v>106700</v>
      </c>
      <c r="AE1065" s="178">
        <f>O1065/M1065*100</f>
        <v>94.171975126675562</v>
      </c>
      <c r="AF1065" s="178">
        <f>P1065/O1065*100</f>
        <v>126.19246580863586</v>
      </c>
      <c r="AG1065" s="178">
        <f>Q1065/P1065*100</f>
        <v>102.40641711229948</v>
      </c>
      <c r="AH1065" s="178">
        <f>AC1065/Q1065*100</f>
        <v>139.29503916449087</v>
      </c>
      <c r="AI1065" s="171"/>
      <c r="AJ1065" s="171">
        <v>116200</v>
      </c>
      <c r="AK1065" s="171">
        <f t="shared" si="651"/>
        <v>147.09896575778714</v>
      </c>
      <c r="AL1065" s="171">
        <f t="shared" si="652"/>
        <v>110.51546391752578</v>
      </c>
      <c r="AM1065" s="171">
        <f t="shared" si="652"/>
        <v>108.39552238805969</v>
      </c>
      <c r="AN1065" s="90"/>
      <c r="AO1065" s="193"/>
      <c r="AP1065" s="193" t="e">
        <f t="shared" ca="1" si="658"/>
        <v>#NAME?</v>
      </c>
      <c r="AQ1065" s="200">
        <f>AQ1067</f>
        <v>92800</v>
      </c>
      <c r="AR1065" s="204">
        <f t="shared" si="663"/>
        <v>147.09896575778714</v>
      </c>
      <c r="AS1065" s="204">
        <f t="shared" si="666"/>
        <v>100</v>
      </c>
      <c r="AT1065" s="204">
        <f t="shared" si="664"/>
        <v>147.09896575778714</v>
      </c>
      <c r="AU1065" s="204">
        <f t="shared" si="667"/>
        <v>95.670103092783506</v>
      </c>
      <c r="AV1065" s="204">
        <f t="shared" si="665"/>
        <v>140.72973218889325</v>
      </c>
    </row>
    <row r="1066" spans="1:48" ht="12" customHeight="1">
      <c r="A1066" s="42"/>
      <c r="B1066" s="42"/>
      <c r="C1066" s="42"/>
      <c r="D1066" s="42"/>
      <c r="E1066" s="42"/>
      <c r="F1066" s="42"/>
      <c r="G1066" s="42"/>
      <c r="H1066" s="308"/>
      <c r="I1066" s="14"/>
      <c r="J1066" s="2"/>
      <c r="K1066" s="84"/>
      <c r="L1066" s="85"/>
      <c r="M1066" s="85"/>
      <c r="N1066" s="86"/>
      <c r="O1066" s="86"/>
      <c r="P1066" s="87"/>
      <c r="Q1066" s="87"/>
      <c r="R1066" s="160"/>
      <c r="S1066" s="161"/>
      <c r="T1066" s="161"/>
      <c r="U1066" s="161"/>
      <c r="V1066" s="200"/>
      <c r="W1066" s="200"/>
      <c r="X1066" s="361"/>
      <c r="Y1066" s="373"/>
      <c r="Z1066" s="373"/>
      <c r="AA1066" s="370" t="e">
        <f t="shared" ca="1" si="661"/>
        <v>#NAME?</v>
      </c>
      <c r="AB1066" s="181"/>
      <c r="AC1066" s="182"/>
      <c r="AD1066" s="182"/>
      <c r="AE1066" s="178"/>
      <c r="AF1066" s="178"/>
      <c r="AG1066" s="178"/>
      <c r="AH1066" s="178"/>
      <c r="AI1066" s="181"/>
      <c r="AJ1066" s="373"/>
      <c r="AK1066" s="171"/>
      <c r="AL1066" s="171"/>
      <c r="AM1066" s="171"/>
      <c r="AN1066" s="161"/>
      <c r="AO1066" s="193"/>
      <c r="AP1066" s="193" t="e">
        <f t="shared" ca="1" si="658"/>
        <v>#NAME?</v>
      </c>
      <c r="AQ1066" s="200"/>
      <c r="AR1066" s="204"/>
      <c r="AS1066" s="204"/>
      <c r="AT1066" s="204"/>
      <c r="AU1066" s="204"/>
      <c r="AV1066" s="204"/>
    </row>
    <row r="1067" spans="1:48" ht="12" customHeight="1">
      <c r="A1067" s="24"/>
      <c r="B1067" s="24"/>
      <c r="C1067" s="24"/>
      <c r="D1067" s="24"/>
      <c r="E1067" s="24"/>
      <c r="F1067" s="24"/>
      <c r="G1067" s="24"/>
      <c r="H1067" s="393"/>
      <c r="I1067" s="465"/>
      <c r="J1067" s="281">
        <v>3</v>
      </c>
      <c r="K1067" s="2" t="s">
        <v>224</v>
      </c>
      <c r="L1067" s="112">
        <f t="shared" ref="L1067:S1067" si="671">L1069+L1081+L1105</f>
        <v>474243</v>
      </c>
      <c r="M1067" s="112">
        <f t="shared" si="671"/>
        <v>62942.862830977494</v>
      </c>
      <c r="N1067" s="113">
        <f t="shared" si="671"/>
        <v>446604</v>
      </c>
      <c r="O1067" s="113">
        <f t="shared" si="671"/>
        <v>59274.537129205644</v>
      </c>
      <c r="P1067" s="114">
        <f t="shared" si="671"/>
        <v>74800</v>
      </c>
      <c r="Q1067" s="114">
        <f t="shared" si="671"/>
        <v>76600</v>
      </c>
      <c r="R1067" s="88">
        <f t="shared" si="671"/>
        <v>65942</v>
      </c>
      <c r="S1067" s="90">
        <f t="shared" si="671"/>
        <v>0</v>
      </c>
      <c r="T1067" s="90"/>
      <c r="U1067" s="90"/>
      <c r="V1067" s="200">
        <f>V1069+V1081+V1105</f>
        <v>97000</v>
      </c>
      <c r="W1067" s="200">
        <f>W1069+W1081+W1105</f>
        <v>97000</v>
      </c>
      <c r="X1067" s="88">
        <f>X1069+X1081+X1105</f>
        <v>107200</v>
      </c>
      <c r="Y1067" s="171">
        <f>Y1069+Y1081+Y1105</f>
        <v>116200</v>
      </c>
      <c r="Z1067" s="171">
        <f>Z1069+Z1081+Z1105</f>
        <v>0</v>
      </c>
      <c r="AA1067" s="370" t="e">
        <f t="shared" ca="1" si="661"/>
        <v>#NAME?</v>
      </c>
      <c r="AB1067" s="171"/>
      <c r="AC1067" s="172">
        <f>AC1069+AC1081+AC1105</f>
        <v>106700</v>
      </c>
      <c r="AD1067" s="172">
        <f>AD1069+AD1081+AD1105</f>
        <v>106700</v>
      </c>
      <c r="AE1067" s="178">
        <f>O1067/M1067*100</f>
        <v>94.171975126675562</v>
      </c>
      <c r="AF1067" s="178">
        <f>P1067/O1067*100</f>
        <v>126.19246580863586</v>
      </c>
      <c r="AG1067" s="178">
        <f>Q1067/P1067*100</f>
        <v>102.40641711229948</v>
      </c>
      <c r="AH1067" s="178">
        <f>AC1067/Q1067*100</f>
        <v>139.29503916449087</v>
      </c>
      <c r="AI1067" s="171"/>
      <c r="AJ1067" s="171">
        <v>116200</v>
      </c>
      <c r="AK1067" s="171">
        <f t="shared" si="651"/>
        <v>147.09896575778714</v>
      </c>
      <c r="AL1067" s="171">
        <f t="shared" si="652"/>
        <v>110.51546391752578</v>
      </c>
      <c r="AM1067" s="171">
        <f t="shared" si="652"/>
        <v>108.39552238805969</v>
      </c>
      <c r="AN1067" s="90"/>
      <c r="AO1067" s="193"/>
      <c r="AP1067" s="193" t="e">
        <f t="shared" ca="1" si="658"/>
        <v>#NAME?</v>
      </c>
      <c r="AQ1067" s="200">
        <f>AQ1069+AQ1081+AQ1105</f>
        <v>92800</v>
      </c>
      <c r="AR1067" s="204">
        <f t="shared" si="663"/>
        <v>147.09896575778714</v>
      </c>
      <c r="AS1067" s="204">
        <f t="shared" si="666"/>
        <v>100</v>
      </c>
      <c r="AT1067" s="204">
        <f t="shared" si="664"/>
        <v>147.09896575778714</v>
      </c>
      <c r="AU1067" s="204">
        <f t="shared" si="667"/>
        <v>95.670103092783506</v>
      </c>
      <c r="AV1067" s="204">
        <f t="shared" si="665"/>
        <v>140.72973218889325</v>
      </c>
    </row>
    <row r="1068" spans="1:48" ht="12" customHeight="1">
      <c r="A1068" s="42"/>
      <c r="B1068" s="42"/>
      <c r="C1068" s="42"/>
      <c r="D1068" s="42"/>
      <c r="E1068" s="42"/>
      <c r="F1068" s="42"/>
      <c r="G1068" s="42"/>
      <c r="H1068" s="308"/>
      <c r="I1068" s="14"/>
      <c r="J1068" s="2"/>
      <c r="K1068" s="84"/>
      <c r="L1068" s="85">
        <v>1</v>
      </c>
      <c r="M1068" s="85">
        <v>2</v>
      </c>
      <c r="N1068" s="86">
        <v>3</v>
      </c>
      <c r="O1068" s="86">
        <v>4</v>
      </c>
      <c r="P1068" s="87">
        <v>5</v>
      </c>
      <c r="Q1068" s="87">
        <v>6</v>
      </c>
      <c r="R1068" s="160"/>
      <c r="S1068" s="161"/>
      <c r="T1068" s="161"/>
      <c r="U1068" s="161"/>
      <c r="V1068" s="200"/>
      <c r="W1068" s="200"/>
      <c r="X1068" s="361"/>
      <c r="Y1068" s="373"/>
      <c r="Z1068" s="373"/>
      <c r="AA1068" s="370" t="e">
        <f t="shared" ca="1" si="661"/>
        <v>#NAME?</v>
      </c>
      <c r="AB1068" s="181"/>
      <c r="AC1068" s="182">
        <v>7</v>
      </c>
      <c r="AD1068" s="182">
        <v>8</v>
      </c>
      <c r="AE1068" s="182">
        <v>9</v>
      </c>
      <c r="AF1068" s="182">
        <v>10</v>
      </c>
      <c r="AG1068" s="182">
        <v>11</v>
      </c>
      <c r="AH1068" s="182">
        <v>12</v>
      </c>
      <c r="AI1068" s="181"/>
      <c r="AJ1068" s="373"/>
      <c r="AK1068" s="171"/>
      <c r="AL1068" s="171"/>
      <c r="AM1068" s="171"/>
      <c r="AN1068" s="161"/>
      <c r="AO1068" s="193"/>
      <c r="AP1068" s="193" t="e">
        <f t="shared" ca="1" si="658"/>
        <v>#NAME?</v>
      </c>
      <c r="AQ1068" s="200"/>
      <c r="AR1068" s="204"/>
      <c r="AS1068" s="204" t="e">
        <f t="shared" si="666"/>
        <v>#DIV/0!</v>
      </c>
      <c r="AT1068" s="204"/>
      <c r="AU1068" s="204"/>
      <c r="AV1068" s="204"/>
    </row>
    <row r="1069" spans="1:48" ht="12" customHeight="1">
      <c r="A1069" s="301"/>
      <c r="B1069" s="301"/>
      <c r="C1069" s="301"/>
      <c r="D1069" s="301"/>
      <c r="E1069" s="301"/>
      <c r="F1069" s="301"/>
      <c r="G1069" s="301"/>
      <c r="H1069" s="307"/>
      <c r="I1069" s="350"/>
      <c r="J1069" s="302">
        <v>31</v>
      </c>
      <c r="K1069" s="343" t="s">
        <v>225</v>
      </c>
      <c r="L1069" s="112">
        <f t="shared" ref="L1069:S1069" si="672">L1071+L1074+L1077</f>
        <v>410814</v>
      </c>
      <c r="M1069" s="112">
        <f t="shared" si="672"/>
        <v>54524.387816046183</v>
      </c>
      <c r="N1069" s="113">
        <f t="shared" si="672"/>
        <v>372275</v>
      </c>
      <c r="O1069" s="113">
        <f t="shared" si="672"/>
        <v>49409.383502554905</v>
      </c>
      <c r="P1069" s="114">
        <f t="shared" si="672"/>
        <v>55700</v>
      </c>
      <c r="Q1069" s="114">
        <f t="shared" si="672"/>
        <v>56700</v>
      </c>
      <c r="R1069" s="88">
        <f t="shared" si="672"/>
        <v>56528</v>
      </c>
      <c r="S1069" s="90">
        <f t="shared" si="672"/>
        <v>0</v>
      </c>
      <c r="T1069" s="90"/>
      <c r="U1069" s="90"/>
      <c r="V1069" s="200">
        <f>V1071+V1074+V1077</f>
        <v>68500</v>
      </c>
      <c r="W1069" s="200">
        <f>W1071+W1074+W1077</f>
        <v>68500</v>
      </c>
      <c r="X1069" s="88">
        <f>X1071+X1074+X1077</f>
        <v>79100</v>
      </c>
      <c r="Y1069" s="171">
        <f>Y1071+Y1074+Y1077</f>
        <v>85400</v>
      </c>
      <c r="Z1069" s="171">
        <f>Z1071+Z1074+Z1077</f>
        <v>0</v>
      </c>
      <c r="AA1069" s="370" t="e">
        <f t="shared" ca="1" si="661"/>
        <v>#NAME?</v>
      </c>
      <c r="AB1069" s="171"/>
      <c r="AC1069" s="172">
        <f>AC1071+AC1074+AC1077</f>
        <v>56900</v>
      </c>
      <c r="AD1069" s="172">
        <f>AD1071+AD1074+AD1077</f>
        <v>56900</v>
      </c>
      <c r="AE1069" s="178">
        <f>O1069/M1069*100</f>
        <v>90.618868879833698</v>
      </c>
      <c r="AF1069" s="178">
        <f>P1069/O1069*100</f>
        <v>112.73162312806394</v>
      </c>
      <c r="AG1069" s="178">
        <f>Q1069/P1069*100</f>
        <v>101.79533213644525</v>
      </c>
      <c r="AH1069" s="178">
        <f>AC1069/Q1069*100</f>
        <v>100.35273368606703</v>
      </c>
      <c r="AI1069" s="171"/>
      <c r="AJ1069" s="171">
        <v>85400</v>
      </c>
      <c r="AK1069" s="171">
        <f t="shared" si="651"/>
        <v>121.17888480045286</v>
      </c>
      <c r="AL1069" s="171">
        <f t="shared" si="652"/>
        <v>115.47445255474453</v>
      </c>
      <c r="AM1069" s="171">
        <f t="shared" si="652"/>
        <v>107.9646017699115</v>
      </c>
      <c r="AN1069" s="90"/>
      <c r="AO1069" s="193"/>
      <c r="AP1069" s="193" t="e">
        <f t="shared" ca="1" si="658"/>
        <v>#NAME?</v>
      </c>
      <c r="AQ1069" s="200">
        <f>AQ1071+AQ1074+AQ1077</f>
        <v>68776</v>
      </c>
      <c r="AR1069" s="204">
        <f t="shared" si="663"/>
        <v>121.17888480045286</v>
      </c>
      <c r="AS1069" s="204">
        <f t="shared" si="666"/>
        <v>100</v>
      </c>
      <c r="AT1069" s="204">
        <f t="shared" si="664"/>
        <v>121.17888480045286</v>
      </c>
      <c r="AU1069" s="204">
        <f t="shared" si="667"/>
        <v>100.40291970802919</v>
      </c>
      <c r="AV1069" s="204">
        <f t="shared" si="665"/>
        <v>121.66713840928389</v>
      </c>
    </row>
    <row r="1070" spans="1:48" ht="12" customHeight="1">
      <c r="A1070" s="24"/>
      <c r="B1070" s="24"/>
      <c r="C1070" s="24"/>
      <c r="D1070" s="24"/>
      <c r="E1070" s="24"/>
      <c r="F1070" s="24"/>
      <c r="G1070" s="24"/>
      <c r="H1070" s="393"/>
      <c r="I1070" s="465"/>
      <c r="J1070" s="281"/>
      <c r="K1070" s="2"/>
      <c r="L1070" s="112"/>
      <c r="M1070" s="112"/>
      <c r="N1070" s="113"/>
      <c r="O1070" s="113"/>
      <c r="P1070" s="114"/>
      <c r="Q1070" s="114"/>
      <c r="R1070" s="88"/>
      <c r="S1070" s="90"/>
      <c r="T1070" s="90"/>
      <c r="U1070" s="90"/>
      <c r="V1070" s="200"/>
      <c r="W1070" s="200"/>
      <c r="X1070" s="167"/>
      <c r="Y1070" s="370"/>
      <c r="Z1070" s="370"/>
      <c r="AA1070" s="370" t="e">
        <f t="shared" ca="1" si="661"/>
        <v>#NAME?</v>
      </c>
      <c r="AB1070" s="171"/>
      <c r="AC1070" s="172"/>
      <c r="AD1070" s="172"/>
      <c r="AE1070" s="178"/>
      <c r="AF1070" s="178"/>
      <c r="AG1070" s="178"/>
      <c r="AH1070" s="178"/>
      <c r="AI1070" s="171"/>
      <c r="AJ1070" s="370"/>
      <c r="AK1070" s="171"/>
      <c r="AL1070" s="171"/>
      <c r="AM1070" s="171"/>
      <c r="AN1070" s="90"/>
      <c r="AO1070" s="193"/>
      <c r="AP1070" s="193" t="e">
        <f t="shared" ca="1" si="658"/>
        <v>#NAME?</v>
      </c>
      <c r="AQ1070" s="200"/>
      <c r="AR1070" s="204"/>
      <c r="AS1070" s="204"/>
      <c r="AT1070" s="204"/>
      <c r="AU1070" s="204"/>
      <c r="AV1070" s="204"/>
    </row>
    <row r="1071" spans="1:48" ht="12" customHeight="1">
      <c r="A1071" s="62"/>
      <c r="B1071" s="62"/>
      <c r="C1071" s="62"/>
      <c r="D1071" s="62"/>
      <c r="E1071" s="62"/>
      <c r="F1071" s="62"/>
      <c r="G1071" s="62"/>
      <c r="H1071" s="304"/>
      <c r="I1071" s="464"/>
      <c r="J1071" s="303">
        <v>311</v>
      </c>
      <c r="K1071" s="19" t="s">
        <v>333</v>
      </c>
      <c r="L1071" s="112">
        <f t="shared" ref="L1071:Z1071" si="673">L1072</f>
        <v>350055</v>
      </c>
      <c r="M1071" s="112">
        <f t="shared" si="673"/>
        <v>46460.28269958192</v>
      </c>
      <c r="N1071" s="113">
        <f t="shared" si="673"/>
        <v>315687</v>
      </c>
      <c r="O1071" s="113">
        <f t="shared" si="673"/>
        <v>41898.865219988053</v>
      </c>
      <c r="P1071" s="114">
        <f t="shared" si="673"/>
        <v>47100</v>
      </c>
      <c r="Q1071" s="114">
        <f t="shared" si="673"/>
        <v>47500</v>
      </c>
      <c r="R1071" s="88">
        <f t="shared" si="673"/>
        <v>47408</v>
      </c>
      <c r="S1071" s="90">
        <f t="shared" si="673"/>
        <v>0</v>
      </c>
      <c r="T1071" s="90"/>
      <c r="U1071" s="90"/>
      <c r="V1071" s="200">
        <f>V1072</f>
        <v>57000</v>
      </c>
      <c r="W1071" s="200">
        <f t="shared" si="673"/>
        <v>57000</v>
      </c>
      <c r="X1071" s="88">
        <f t="shared" si="673"/>
        <v>64000</v>
      </c>
      <c r="Y1071" s="171">
        <f t="shared" si="673"/>
        <v>69000</v>
      </c>
      <c r="Z1071" s="171">
        <f t="shared" si="673"/>
        <v>0</v>
      </c>
      <c r="AA1071" s="370" t="e">
        <f t="shared" ca="1" si="661"/>
        <v>#NAME?</v>
      </c>
      <c r="AB1071" s="171"/>
      <c r="AC1071" s="172">
        <f>AC1072</f>
        <v>48000</v>
      </c>
      <c r="AD1071" s="172">
        <f>AD1072</f>
        <v>48000</v>
      </c>
      <c r="AE1071" s="178">
        <f>O1071/M1071*100</f>
        <v>90.182114239190994</v>
      </c>
      <c r="AF1071" s="178">
        <f>P1071/O1071*100</f>
        <v>112.41354569557822</v>
      </c>
      <c r="AG1071" s="178">
        <f>Q1071/P1071*100</f>
        <v>100.84925690021231</v>
      </c>
      <c r="AH1071" s="178">
        <f>AC1071/Q1071*100</f>
        <v>101.05263157894737</v>
      </c>
      <c r="AI1071" s="171"/>
      <c r="AJ1071" s="171">
        <v>69000</v>
      </c>
      <c r="AK1071" s="171">
        <f t="shared" si="651"/>
        <v>120.23287208909889</v>
      </c>
      <c r="AL1071" s="171">
        <f t="shared" si="652"/>
        <v>112.28070175438596</v>
      </c>
      <c r="AM1071" s="171">
        <f t="shared" si="652"/>
        <v>107.8125</v>
      </c>
      <c r="AN1071" s="90"/>
      <c r="AO1071" s="193"/>
      <c r="AP1071" s="193" t="e">
        <f t="shared" ca="1" si="658"/>
        <v>#NAME?</v>
      </c>
      <c r="AQ1071" s="200">
        <f>AQ1072</f>
        <v>56608</v>
      </c>
      <c r="AR1071" s="204">
        <f t="shared" si="663"/>
        <v>120.23287208909889</v>
      </c>
      <c r="AS1071" s="204">
        <f t="shared" si="666"/>
        <v>100</v>
      </c>
      <c r="AT1071" s="204">
        <f t="shared" si="664"/>
        <v>120.23287208909889</v>
      </c>
      <c r="AU1071" s="204">
        <f t="shared" si="667"/>
        <v>99.312280701754389</v>
      </c>
      <c r="AV1071" s="204">
        <f t="shared" si="665"/>
        <v>119.40600742490719</v>
      </c>
    </row>
    <row r="1072" spans="1:48" ht="12" customHeight="1">
      <c r="A1072" s="53"/>
      <c r="B1072" s="53"/>
      <c r="C1072" s="53"/>
      <c r="D1072" s="53"/>
      <c r="E1072" s="53"/>
      <c r="F1072" s="53"/>
      <c r="G1072" s="53"/>
      <c r="H1072" s="1">
        <v>46</v>
      </c>
      <c r="I1072" s="397">
        <v>820</v>
      </c>
      <c r="J1072" s="229">
        <v>3111</v>
      </c>
      <c r="K1072" s="18" t="s">
        <v>227</v>
      </c>
      <c r="L1072" s="130">
        <v>350055</v>
      </c>
      <c r="M1072" s="130">
        <f>350055/7.5345</f>
        <v>46460.28269958192</v>
      </c>
      <c r="N1072" s="131">
        <v>315687</v>
      </c>
      <c r="O1072" s="131">
        <f>N1072/7.5345</f>
        <v>41898.865219988053</v>
      </c>
      <c r="P1072" s="132">
        <v>47100</v>
      </c>
      <c r="Q1072" s="163">
        <v>47500</v>
      </c>
      <c r="R1072" s="159">
        <v>47408</v>
      </c>
      <c r="S1072" s="165"/>
      <c r="T1072" s="165"/>
      <c r="U1072" s="165"/>
      <c r="V1072" s="200">
        <v>57000</v>
      </c>
      <c r="W1072" s="200">
        <v>57000</v>
      </c>
      <c r="X1072" s="164">
        <v>64000</v>
      </c>
      <c r="Y1072" s="378">
        <v>69000</v>
      </c>
      <c r="Z1072" s="378"/>
      <c r="AA1072" s="370" t="e">
        <f t="shared" ca="1" si="661"/>
        <v>#NAME?</v>
      </c>
      <c r="AB1072" s="183"/>
      <c r="AC1072" s="178">
        <v>48000</v>
      </c>
      <c r="AD1072" s="178">
        <v>48000</v>
      </c>
      <c r="AE1072" s="178">
        <f>O1072/M1072*100</f>
        <v>90.182114239190994</v>
      </c>
      <c r="AF1072" s="178">
        <f>P1072/O1072*100</f>
        <v>112.41354569557822</v>
      </c>
      <c r="AG1072" s="178">
        <f>Q1072/P1072*100</f>
        <v>100.84925690021231</v>
      </c>
      <c r="AH1072" s="178">
        <f>AC1072/Q1072*100</f>
        <v>101.05263157894737</v>
      </c>
      <c r="AI1072" s="183"/>
      <c r="AJ1072" s="378">
        <v>69000</v>
      </c>
      <c r="AK1072" s="171">
        <f t="shared" si="651"/>
        <v>120.23287208909889</v>
      </c>
      <c r="AL1072" s="171">
        <f t="shared" si="652"/>
        <v>112.28070175438596</v>
      </c>
      <c r="AM1072" s="171">
        <f t="shared" si="652"/>
        <v>107.8125</v>
      </c>
      <c r="AN1072" s="165"/>
      <c r="AO1072" s="193"/>
      <c r="AP1072" s="193" t="e">
        <f t="shared" ca="1" si="658"/>
        <v>#NAME?</v>
      </c>
      <c r="AQ1072" s="200">
        <v>56608</v>
      </c>
      <c r="AR1072" s="204">
        <f t="shared" si="663"/>
        <v>120.23287208909889</v>
      </c>
      <c r="AS1072" s="204">
        <f t="shared" si="666"/>
        <v>100</v>
      </c>
      <c r="AT1072" s="204">
        <f t="shared" si="664"/>
        <v>120.23287208909889</v>
      </c>
      <c r="AU1072" s="204">
        <f t="shared" si="667"/>
        <v>99.312280701754389</v>
      </c>
      <c r="AV1072" s="204">
        <f t="shared" si="665"/>
        <v>119.40600742490719</v>
      </c>
    </row>
    <row r="1073" spans="1:48" ht="12" customHeight="1">
      <c r="A1073" s="53"/>
      <c r="B1073" s="53"/>
      <c r="C1073" s="53"/>
      <c r="D1073" s="53"/>
      <c r="E1073" s="53"/>
      <c r="F1073" s="53"/>
      <c r="G1073" s="53"/>
      <c r="H1073" s="1"/>
      <c r="I1073" s="397"/>
      <c r="J1073" s="229"/>
      <c r="K1073" s="18"/>
      <c r="L1073" s="85"/>
      <c r="M1073" s="85"/>
      <c r="N1073" s="86"/>
      <c r="O1073" s="86"/>
      <c r="P1073" s="87"/>
      <c r="Q1073" s="87"/>
      <c r="R1073" s="160"/>
      <c r="S1073" s="161"/>
      <c r="T1073" s="161"/>
      <c r="U1073" s="161"/>
      <c r="V1073" s="200"/>
      <c r="W1073" s="200"/>
      <c r="X1073" s="361"/>
      <c r="Y1073" s="373"/>
      <c r="Z1073" s="373"/>
      <c r="AA1073" s="370" t="e">
        <f t="shared" ca="1" si="661"/>
        <v>#NAME?</v>
      </c>
      <c r="AB1073" s="181"/>
      <c r="AC1073" s="182"/>
      <c r="AD1073" s="182"/>
      <c r="AE1073" s="178"/>
      <c r="AF1073" s="178"/>
      <c r="AG1073" s="178"/>
      <c r="AH1073" s="178"/>
      <c r="AI1073" s="181"/>
      <c r="AJ1073" s="373"/>
      <c r="AK1073" s="171"/>
      <c r="AL1073" s="171"/>
      <c r="AM1073" s="171"/>
      <c r="AN1073" s="161"/>
      <c r="AO1073" s="193"/>
      <c r="AP1073" s="193" t="e">
        <f t="shared" ca="1" si="658"/>
        <v>#NAME?</v>
      </c>
      <c r="AQ1073" s="200"/>
      <c r="AR1073" s="204"/>
      <c r="AS1073" s="204"/>
      <c r="AT1073" s="204"/>
      <c r="AU1073" s="204"/>
      <c r="AV1073" s="204"/>
    </row>
    <row r="1074" spans="1:48" ht="12" customHeight="1">
      <c r="A1074" s="62"/>
      <c r="B1074" s="62"/>
      <c r="C1074" s="62"/>
      <c r="D1074" s="62"/>
      <c r="E1074" s="62"/>
      <c r="F1074" s="62"/>
      <c r="G1074" s="62"/>
      <c r="H1074" s="304"/>
      <c r="I1074" s="464"/>
      <c r="J1074" s="303">
        <v>312</v>
      </c>
      <c r="K1074" s="19" t="s">
        <v>337</v>
      </c>
      <c r="L1074" s="112">
        <f t="shared" ref="L1074:Z1074" si="674">L1075</f>
        <v>3000</v>
      </c>
      <c r="M1074" s="112">
        <f t="shared" si="674"/>
        <v>398.16842524387812</v>
      </c>
      <c r="N1074" s="113">
        <f t="shared" si="674"/>
        <v>4500</v>
      </c>
      <c r="O1074" s="113">
        <f t="shared" si="674"/>
        <v>597.25263786581718</v>
      </c>
      <c r="P1074" s="114">
        <f t="shared" si="674"/>
        <v>800</v>
      </c>
      <c r="Q1074" s="114">
        <f t="shared" si="674"/>
        <v>1300</v>
      </c>
      <c r="R1074" s="88">
        <f t="shared" si="674"/>
        <v>1298</v>
      </c>
      <c r="S1074" s="90">
        <f t="shared" si="674"/>
        <v>0</v>
      </c>
      <c r="T1074" s="90"/>
      <c r="U1074" s="90"/>
      <c r="V1074" s="200">
        <f>V1075</f>
        <v>2100</v>
      </c>
      <c r="W1074" s="200">
        <f t="shared" si="674"/>
        <v>2100</v>
      </c>
      <c r="X1074" s="88">
        <f t="shared" si="674"/>
        <v>4500</v>
      </c>
      <c r="Y1074" s="171">
        <f t="shared" si="674"/>
        <v>5000</v>
      </c>
      <c r="Z1074" s="171">
        <f t="shared" si="674"/>
        <v>0</v>
      </c>
      <c r="AA1074" s="370" t="e">
        <f t="shared" ca="1" si="661"/>
        <v>#NAME?</v>
      </c>
      <c r="AB1074" s="171"/>
      <c r="AC1074" s="172">
        <f>AC1075</f>
        <v>900</v>
      </c>
      <c r="AD1074" s="172">
        <f>AD1075</f>
        <v>900</v>
      </c>
      <c r="AE1074" s="178">
        <f>O1074/M1074*100</f>
        <v>150</v>
      </c>
      <c r="AF1074" s="178">
        <f>P1074/O1074*100</f>
        <v>133.94666666666669</v>
      </c>
      <c r="AG1074" s="178">
        <f>Q1074/P1074*100</f>
        <v>162.5</v>
      </c>
      <c r="AH1074" s="178">
        <f>AC1074/Q1074*100</f>
        <v>69.230769230769226</v>
      </c>
      <c r="AI1074" s="171"/>
      <c r="AJ1074" s="171">
        <v>5000</v>
      </c>
      <c r="AK1074" s="171">
        <f t="shared" si="651"/>
        <v>161.78736517719571</v>
      </c>
      <c r="AL1074" s="171">
        <f t="shared" si="652"/>
        <v>214.28571428571428</v>
      </c>
      <c r="AM1074" s="171">
        <f t="shared" si="652"/>
        <v>111.11111111111111</v>
      </c>
      <c r="AN1074" s="90"/>
      <c r="AO1074" s="193"/>
      <c r="AP1074" s="193" t="e">
        <f t="shared" ca="1" si="658"/>
        <v>#NAME?</v>
      </c>
      <c r="AQ1074" s="200">
        <f>AQ1075</f>
        <v>2828</v>
      </c>
      <c r="AR1074" s="204">
        <f t="shared" si="663"/>
        <v>161.78736517719571</v>
      </c>
      <c r="AS1074" s="204">
        <f t="shared" si="666"/>
        <v>100</v>
      </c>
      <c r="AT1074" s="204">
        <f t="shared" si="664"/>
        <v>161.78736517719571</v>
      </c>
      <c r="AU1074" s="204">
        <f t="shared" si="667"/>
        <v>134.66666666666666</v>
      </c>
      <c r="AV1074" s="204">
        <f t="shared" si="665"/>
        <v>217.87365177195687</v>
      </c>
    </row>
    <row r="1075" spans="1:48" ht="12" customHeight="1">
      <c r="A1075" s="53"/>
      <c r="B1075" s="53"/>
      <c r="C1075" s="53"/>
      <c r="D1075" s="53"/>
      <c r="E1075" s="53"/>
      <c r="F1075" s="53"/>
      <c r="G1075" s="53"/>
      <c r="H1075" s="1">
        <v>47</v>
      </c>
      <c r="I1075" s="397">
        <v>820</v>
      </c>
      <c r="J1075" s="229">
        <v>3121</v>
      </c>
      <c r="K1075" s="18" t="s">
        <v>229</v>
      </c>
      <c r="L1075" s="130">
        <v>3000</v>
      </c>
      <c r="M1075" s="130">
        <f>3000/7.5345</f>
        <v>398.16842524387812</v>
      </c>
      <c r="N1075" s="131">
        <v>4500</v>
      </c>
      <c r="O1075" s="131">
        <f>N1075/7.5345</f>
        <v>597.25263786581718</v>
      </c>
      <c r="P1075" s="132">
        <v>800</v>
      </c>
      <c r="Q1075" s="163">
        <v>1300</v>
      </c>
      <c r="R1075" s="159">
        <v>1298</v>
      </c>
      <c r="S1075" s="165"/>
      <c r="T1075" s="165"/>
      <c r="U1075" s="165"/>
      <c r="V1075" s="200">
        <v>2100</v>
      </c>
      <c r="W1075" s="200">
        <v>2100</v>
      </c>
      <c r="X1075" s="164">
        <v>4500</v>
      </c>
      <c r="Y1075" s="378">
        <v>5000</v>
      </c>
      <c r="Z1075" s="378"/>
      <c r="AA1075" s="370" t="e">
        <f t="shared" ca="1" si="661"/>
        <v>#NAME?</v>
      </c>
      <c r="AB1075" s="183"/>
      <c r="AC1075" s="178">
        <v>900</v>
      </c>
      <c r="AD1075" s="178">
        <v>900</v>
      </c>
      <c r="AE1075" s="178">
        <f>O1075/M1075*100</f>
        <v>150</v>
      </c>
      <c r="AF1075" s="178">
        <f>P1075/O1075*100</f>
        <v>133.94666666666669</v>
      </c>
      <c r="AG1075" s="178">
        <f>Q1075/P1075*100</f>
        <v>162.5</v>
      </c>
      <c r="AH1075" s="178">
        <f>AC1075/Q1075*100</f>
        <v>69.230769230769226</v>
      </c>
      <c r="AI1075" s="183"/>
      <c r="AJ1075" s="378">
        <v>5000</v>
      </c>
      <c r="AK1075" s="171">
        <f t="shared" si="651"/>
        <v>161.78736517719571</v>
      </c>
      <c r="AL1075" s="171">
        <f t="shared" si="652"/>
        <v>214.28571428571428</v>
      </c>
      <c r="AM1075" s="171">
        <f t="shared" si="652"/>
        <v>111.11111111111111</v>
      </c>
      <c r="AN1075" s="165"/>
      <c r="AO1075" s="193"/>
      <c r="AP1075" s="193" t="e">
        <f t="shared" ca="1" si="658"/>
        <v>#NAME?</v>
      </c>
      <c r="AQ1075" s="200">
        <v>2828</v>
      </c>
      <c r="AR1075" s="204">
        <f t="shared" si="663"/>
        <v>161.78736517719571</v>
      </c>
      <c r="AS1075" s="204">
        <f t="shared" si="666"/>
        <v>100</v>
      </c>
      <c r="AT1075" s="204">
        <f t="shared" si="664"/>
        <v>161.78736517719571</v>
      </c>
      <c r="AU1075" s="204">
        <f t="shared" si="667"/>
        <v>134.66666666666666</v>
      </c>
      <c r="AV1075" s="204">
        <f t="shared" si="665"/>
        <v>217.87365177195687</v>
      </c>
    </row>
    <row r="1076" spans="1:48" ht="12" customHeight="1">
      <c r="A1076" s="53"/>
      <c r="B1076" s="53"/>
      <c r="C1076" s="53"/>
      <c r="D1076" s="53"/>
      <c r="E1076" s="53"/>
      <c r="F1076" s="53"/>
      <c r="G1076" s="53"/>
      <c r="H1076" s="1"/>
      <c r="I1076" s="397"/>
      <c r="J1076" s="229"/>
      <c r="K1076" s="18"/>
      <c r="L1076" s="119"/>
      <c r="M1076" s="119"/>
      <c r="N1076" s="120"/>
      <c r="O1076" s="120"/>
      <c r="P1076" s="121"/>
      <c r="Q1076" s="121"/>
      <c r="R1076" s="157"/>
      <c r="S1076" s="158"/>
      <c r="T1076" s="158"/>
      <c r="U1076" s="158"/>
      <c r="V1076" s="200"/>
      <c r="W1076" s="200"/>
      <c r="X1076" s="164"/>
      <c r="Y1076" s="369"/>
      <c r="Z1076" s="369"/>
      <c r="AA1076" s="370" t="e">
        <f t="shared" ca="1" si="661"/>
        <v>#NAME?</v>
      </c>
      <c r="AB1076" s="179"/>
      <c r="AC1076" s="180"/>
      <c r="AD1076" s="180"/>
      <c r="AE1076" s="178"/>
      <c r="AF1076" s="178"/>
      <c r="AG1076" s="178"/>
      <c r="AH1076" s="178"/>
      <c r="AI1076" s="179"/>
      <c r="AJ1076" s="369"/>
      <c r="AK1076" s="171"/>
      <c r="AL1076" s="171"/>
      <c r="AM1076" s="171"/>
      <c r="AN1076" s="158"/>
      <c r="AO1076" s="193"/>
      <c r="AP1076" s="193" t="e">
        <f t="shared" ca="1" si="658"/>
        <v>#NAME?</v>
      </c>
      <c r="AQ1076" s="200"/>
      <c r="AR1076" s="204"/>
      <c r="AS1076" s="204"/>
      <c r="AT1076" s="204"/>
      <c r="AU1076" s="204"/>
      <c r="AV1076" s="204"/>
    </row>
    <row r="1077" spans="1:48" ht="12" customHeight="1">
      <c r="A1077" s="62"/>
      <c r="B1077" s="62"/>
      <c r="C1077" s="62"/>
      <c r="D1077" s="62"/>
      <c r="E1077" s="62"/>
      <c r="F1077" s="62"/>
      <c r="G1077" s="62"/>
      <c r="H1077" s="304"/>
      <c r="I1077" s="464"/>
      <c r="J1077" s="303">
        <v>313</v>
      </c>
      <c r="K1077" s="19" t="s">
        <v>340</v>
      </c>
      <c r="L1077" s="112">
        <f t="shared" ref="L1077:S1077" si="675">L1078+L1079</f>
        <v>57759</v>
      </c>
      <c r="M1077" s="112">
        <f t="shared" si="675"/>
        <v>7665.9366912203859</v>
      </c>
      <c r="N1077" s="113">
        <f t="shared" si="675"/>
        <v>52088</v>
      </c>
      <c r="O1077" s="113">
        <f t="shared" si="675"/>
        <v>6913.2656447010413</v>
      </c>
      <c r="P1077" s="114">
        <f t="shared" si="675"/>
        <v>7800</v>
      </c>
      <c r="Q1077" s="114">
        <f t="shared" si="675"/>
        <v>7900</v>
      </c>
      <c r="R1077" s="88">
        <f t="shared" si="675"/>
        <v>7822</v>
      </c>
      <c r="S1077" s="90">
        <f t="shared" si="675"/>
        <v>0</v>
      </c>
      <c r="T1077" s="90"/>
      <c r="U1077" s="90"/>
      <c r="V1077" s="200">
        <f>V1078+V1079</f>
        <v>9400</v>
      </c>
      <c r="W1077" s="200">
        <f>W1078+W1079</f>
        <v>9400</v>
      </c>
      <c r="X1077" s="88">
        <f>X1078+X1079</f>
        <v>10600</v>
      </c>
      <c r="Y1077" s="171">
        <f>Y1078+Y1079</f>
        <v>11400</v>
      </c>
      <c r="Z1077" s="171">
        <f>Z1078+Z1079</f>
        <v>0</v>
      </c>
      <c r="AA1077" s="370" t="e">
        <f t="shared" ca="1" si="661"/>
        <v>#NAME?</v>
      </c>
      <c r="AB1077" s="171"/>
      <c r="AC1077" s="172">
        <f>AC1078+AC1079</f>
        <v>8000</v>
      </c>
      <c r="AD1077" s="172">
        <f>AD1078+AD1079</f>
        <v>8000</v>
      </c>
      <c r="AE1077" s="178">
        <f>O1077/M1077*100</f>
        <v>90.181616717740951</v>
      </c>
      <c r="AF1077" s="178">
        <f>P1077/O1077*100</f>
        <v>112.82656273997851</v>
      </c>
      <c r="AG1077" s="178">
        <f>Q1077/P1077*100</f>
        <v>101.28205128205127</v>
      </c>
      <c r="AH1077" s="178">
        <f>AC1077/Q1077*100</f>
        <v>101.26582278481013</v>
      </c>
      <c r="AI1077" s="171"/>
      <c r="AJ1077" s="171">
        <v>11400</v>
      </c>
      <c r="AK1077" s="171">
        <f t="shared" si="651"/>
        <v>120.17386857581181</v>
      </c>
      <c r="AL1077" s="171">
        <f t="shared" si="652"/>
        <v>112.7659574468085</v>
      </c>
      <c r="AM1077" s="171">
        <f t="shared" si="652"/>
        <v>107.54716981132076</v>
      </c>
      <c r="AN1077" s="90"/>
      <c r="AO1077" s="193"/>
      <c r="AP1077" s="193" t="e">
        <f t="shared" ca="1" si="658"/>
        <v>#NAME?</v>
      </c>
      <c r="AQ1077" s="200">
        <f>AQ1078+AQ1079</f>
        <v>9340</v>
      </c>
      <c r="AR1077" s="204">
        <f t="shared" si="663"/>
        <v>120.17386857581181</v>
      </c>
      <c r="AS1077" s="204">
        <f t="shared" si="666"/>
        <v>100</v>
      </c>
      <c r="AT1077" s="204">
        <f t="shared" si="664"/>
        <v>120.17386857581181</v>
      </c>
      <c r="AU1077" s="204">
        <f t="shared" si="667"/>
        <v>99.361702127659584</v>
      </c>
      <c r="AV1077" s="204">
        <f t="shared" si="665"/>
        <v>119.40680132958323</v>
      </c>
    </row>
    <row r="1078" spans="1:48" ht="12" customHeight="1">
      <c r="A1078" s="53"/>
      <c r="B1078" s="53"/>
      <c r="C1078" s="53"/>
      <c r="D1078" s="53"/>
      <c r="E1078" s="53"/>
      <c r="F1078" s="53"/>
      <c r="G1078" s="53"/>
      <c r="H1078" s="1">
        <v>49</v>
      </c>
      <c r="I1078" s="397">
        <v>820</v>
      </c>
      <c r="J1078" s="229">
        <v>3132</v>
      </c>
      <c r="K1078" s="18" t="s">
        <v>341</v>
      </c>
      <c r="L1078" s="130">
        <v>57759</v>
      </c>
      <c r="M1078" s="130">
        <f>57759/7.5345</f>
        <v>7665.9366912203859</v>
      </c>
      <c r="N1078" s="131">
        <v>52088</v>
      </c>
      <c r="O1078" s="131">
        <f>N1078/7.5345</f>
        <v>6913.2656447010413</v>
      </c>
      <c r="P1078" s="132">
        <v>7800</v>
      </c>
      <c r="Q1078" s="163">
        <v>7900</v>
      </c>
      <c r="R1078" s="159">
        <v>7822</v>
      </c>
      <c r="S1078" s="165"/>
      <c r="T1078" s="165"/>
      <c r="U1078" s="165"/>
      <c r="V1078" s="200">
        <v>9400</v>
      </c>
      <c r="W1078" s="200">
        <v>9400</v>
      </c>
      <c r="X1078" s="164">
        <v>10600</v>
      </c>
      <c r="Y1078" s="378">
        <v>11400</v>
      </c>
      <c r="Z1078" s="378"/>
      <c r="AA1078" s="370" t="e">
        <f t="shared" ca="1" si="661"/>
        <v>#NAME?</v>
      </c>
      <c r="AB1078" s="183"/>
      <c r="AC1078" s="178">
        <v>8000</v>
      </c>
      <c r="AD1078" s="178">
        <v>8000</v>
      </c>
      <c r="AE1078" s="178">
        <f>O1078/M1078*100</f>
        <v>90.181616717740951</v>
      </c>
      <c r="AF1078" s="178">
        <f>P1078/O1078*100</f>
        <v>112.82656273997851</v>
      </c>
      <c r="AG1078" s="178">
        <f>Q1078/P1078*100</f>
        <v>101.28205128205127</v>
      </c>
      <c r="AH1078" s="178">
        <f>AC1078/Q1078*100</f>
        <v>101.26582278481013</v>
      </c>
      <c r="AI1078" s="183"/>
      <c r="AJ1078" s="378">
        <v>11400</v>
      </c>
      <c r="AK1078" s="171">
        <f t="shared" si="651"/>
        <v>120.17386857581181</v>
      </c>
      <c r="AL1078" s="171">
        <f t="shared" si="652"/>
        <v>112.7659574468085</v>
      </c>
      <c r="AM1078" s="171">
        <f t="shared" si="652"/>
        <v>107.54716981132076</v>
      </c>
      <c r="AN1078" s="165"/>
      <c r="AO1078" s="193"/>
      <c r="AP1078" s="193" t="e">
        <f t="shared" ca="1" si="658"/>
        <v>#NAME?</v>
      </c>
      <c r="AQ1078" s="200">
        <v>9340</v>
      </c>
      <c r="AR1078" s="204">
        <f t="shared" si="663"/>
        <v>120.17386857581181</v>
      </c>
      <c r="AS1078" s="204">
        <f t="shared" si="666"/>
        <v>100</v>
      </c>
      <c r="AT1078" s="204">
        <f t="shared" si="664"/>
        <v>120.17386857581181</v>
      </c>
      <c r="AU1078" s="204">
        <f t="shared" si="667"/>
        <v>99.361702127659584</v>
      </c>
      <c r="AV1078" s="204">
        <f t="shared" si="665"/>
        <v>119.40680132958323</v>
      </c>
    </row>
    <row r="1079" spans="1:48" ht="12" customHeight="1">
      <c r="A1079" s="53"/>
      <c r="B1079" s="53"/>
      <c r="C1079" s="53"/>
      <c r="D1079" s="53"/>
      <c r="E1079" s="53"/>
      <c r="F1079" s="53"/>
      <c r="G1079" s="53"/>
      <c r="H1079" s="1">
        <v>50</v>
      </c>
      <c r="I1079" s="397">
        <v>820</v>
      </c>
      <c r="J1079" s="229">
        <v>3133</v>
      </c>
      <c r="K1079" s="18" t="s">
        <v>828</v>
      </c>
      <c r="L1079" s="130">
        <v>0</v>
      </c>
      <c r="M1079" s="130">
        <v>0</v>
      </c>
      <c r="N1079" s="131">
        <v>0</v>
      </c>
      <c r="O1079" s="131">
        <f>N1079/7.5345</f>
        <v>0</v>
      </c>
      <c r="P1079" s="132">
        <v>0</v>
      </c>
      <c r="Q1079" s="132">
        <v>0</v>
      </c>
      <c r="R1079" s="159">
        <v>0</v>
      </c>
      <c r="S1079" s="165"/>
      <c r="T1079" s="165"/>
      <c r="U1079" s="165"/>
      <c r="V1079" s="200"/>
      <c r="W1079" s="200"/>
      <c r="X1079" s="164"/>
      <c r="Y1079" s="378"/>
      <c r="Z1079" s="378"/>
      <c r="AA1079" s="370" t="e">
        <f t="shared" ca="1" si="661"/>
        <v>#NAME?</v>
      </c>
      <c r="AB1079" s="183"/>
      <c r="AC1079" s="178">
        <v>0</v>
      </c>
      <c r="AD1079" s="178">
        <v>0</v>
      </c>
      <c r="AE1079" s="178"/>
      <c r="AF1079" s="178"/>
      <c r="AG1079" s="178"/>
      <c r="AH1079" s="178"/>
      <c r="AI1079" s="183"/>
      <c r="AJ1079" s="378"/>
      <c r="AK1079" s="171"/>
      <c r="AL1079" s="171"/>
      <c r="AM1079" s="171"/>
      <c r="AN1079" s="165"/>
      <c r="AO1079" s="193"/>
      <c r="AP1079" s="193" t="e">
        <f t="shared" ca="1" si="658"/>
        <v>#NAME?</v>
      </c>
      <c r="AQ1079" s="200"/>
      <c r="AR1079" s="204"/>
      <c r="AS1079" s="204"/>
      <c r="AT1079" s="204"/>
      <c r="AU1079" s="204"/>
      <c r="AV1079" s="204"/>
    </row>
    <row r="1080" spans="1:48" ht="12" customHeight="1">
      <c r="A1080" s="53"/>
      <c r="B1080" s="53"/>
      <c r="C1080" s="53"/>
      <c r="D1080" s="53"/>
      <c r="E1080" s="53"/>
      <c r="F1080" s="53"/>
      <c r="G1080" s="53"/>
      <c r="H1080" s="1"/>
      <c r="I1080" s="397"/>
      <c r="J1080" s="229"/>
      <c r="K1080" s="18"/>
      <c r="L1080" s="130"/>
      <c r="M1080" s="130"/>
      <c r="N1080" s="131"/>
      <c r="O1080" s="131"/>
      <c r="P1080" s="132"/>
      <c r="Q1080" s="132"/>
      <c r="R1080" s="159"/>
      <c r="S1080" s="165"/>
      <c r="T1080" s="165"/>
      <c r="U1080" s="165"/>
      <c r="V1080" s="200"/>
      <c r="W1080" s="200"/>
      <c r="X1080" s="164"/>
      <c r="Y1080" s="378"/>
      <c r="Z1080" s="378"/>
      <c r="AA1080" s="370" t="e">
        <f t="shared" ca="1" si="661"/>
        <v>#NAME?</v>
      </c>
      <c r="AB1080" s="183"/>
      <c r="AC1080" s="178"/>
      <c r="AD1080" s="178"/>
      <c r="AE1080" s="178"/>
      <c r="AF1080" s="178"/>
      <c r="AG1080" s="178"/>
      <c r="AH1080" s="178"/>
      <c r="AI1080" s="183"/>
      <c r="AJ1080" s="378"/>
      <c r="AK1080" s="171"/>
      <c r="AL1080" s="171"/>
      <c r="AM1080" s="171"/>
      <c r="AN1080" s="165"/>
      <c r="AO1080" s="193"/>
      <c r="AP1080" s="193" t="e">
        <f t="shared" ca="1" si="658"/>
        <v>#NAME?</v>
      </c>
      <c r="AQ1080" s="200"/>
      <c r="AR1080" s="204"/>
      <c r="AS1080" s="204"/>
      <c r="AT1080" s="204"/>
      <c r="AU1080" s="204"/>
      <c r="AV1080" s="204"/>
    </row>
    <row r="1081" spans="1:48" ht="12" customHeight="1">
      <c r="A1081" s="301"/>
      <c r="B1081" s="301"/>
      <c r="C1081" s="301"/>
      <c r="D1081" s="301"/>
      <c r="E1081" s="301"/>
      <c r="F1081" s="301"/>
      <c r="G1081" s="301"/>
      <c r="H1081" s="307"/>
      <c r="I1081" s="350"/>
      <c r="J1081" s="302">
        <v>32</v>
      </c>
      <c r="K1081" s="343" t="s">
        <v>233</v>
      </c>
      <c r="L1081" s="112">
        <f t="shared" ref="L1081:S1081" si="676">L1083+L1087+L1093+L1101</f>
        <v>60239</v>
      </c>
      <c r="M1081" s="112">
        <f t="shared" si="676"/>
        <v>7995.0892560886587</v>
      </c>
      <c r="N1081" s="113">
        <f t="shared" si="676"/>
        <v>71003</v>
      </c>
      <c r="O1081" s="113">
        <f t="shared" si="676"/>
        <v>9423.7175658636916</v>
      </c>
      <c r="P1081" s="114">
        <f t="shared" si="676"/>
        <v>18600</v>
      </c>
      <c r="Q1081" s="114">
        <f t="shared" si="676"/>
        <v>19300</v>
      </c>
      <c r="R1081" s="88">
        <f t="shared" si="676"/>
        <v>8937</v>
      </c>
      <c r="S1081" s="90">
        <f t="shared" si="676"/>
        <v>0</v>
      </c>
      <c r="T1081" s="90"/>
      <c r="U1081" s="90"/>
      <c r="V1081" s="200">
        <f>V1083+V1087+V1093+V1101</f>
        <v>27800</v>
      </c>
      <c r="W1081" s="200">
        <f>W1083+W1087+W1093+W1101</f>
        <v>27800</v>
      </c>
      <c r="X1081" s="88">
        <f>X1083+X1087+X1093+X1101</f>
        <v>27300</v>
      </c>
      <c r="Y1081" s="171">
        <f>Y1083+Y1087+Y1093+Y1101</f>
        <v>30000</v>
      </c>
      <c r="Z1081" s="171">
        <f>Z1083+Z1087+Z1093+Z1101</f>
        <v>0</v>
      </c>
      <c r="AA1081" s="370" t="e">
        <f t="shared" ca="1" si="661"/>
        <v>#NAME?</v>
      </c>
      <c r="AB1081" s="171"/>
      <c r="AC1081" s="172">
        <f>AC1083+AC1087+AC1093+AC1101</f>
        <v>49300</v>
      </c>
      <c r="AD1081" s="172">
        <f>AD1083+AD1087+AD1093+AD1101</f>
        <v>49300</v>
      </c>
      <c r="AE1081" s="178">
        <f>O1081/M1081*100</f>
        <v>117.86882252361424</v>
      </c>
      <c r="AF1081" s="178">
        <f>P1081/O1081*100</f>
        <v>197.37433629564953</v>
      </c>
      <c r="AG1081" s="178">
        <f>Q1081/P1081*100</f>
        <v>103.76344086021506</v>
      </c>
      <c r="AH1081" s="178">
        <f>AC1081/Q1081*100</f>
        <v>255.44041450777203</v>
      </c>
      <c r="AI1081" s="171"/>
      <c r="AJ1081" s="171">
        <v>30000</v>
      </c>
      <c r="AK1081" s="171">
        <f t="shared" si="651"/>
        <v>311.0663533624259</v>
      </c>
      <c r="AL1081" s="171">
        <f t="shared" si="652"/>
        <v>98.201438848920859</v>
      </c>
      <c r="AM1081" s="171">
        <f t="shared" si="652"/>
        <v>109.8901098901099</v>
      </c>
      <c r="AN1081" s="90"/>
      <c r="AO1081" s="193"/>
      <c r="AP1081" s="193" t="e">
        <f t="shared" ca="1" si="658"/>
        <v>#NAME?</v>
      </c>
      <c r="AQ1081" s="200">
        <f>AQ1083+AQ1087+AQ1093+AQ1101</f>
        <v>23521</v>
      </c>
      <c r="AR1081" s="204">
        <f t="shared" si="663"/>
        <v>311.0663533624259</v>
      </c>
      <c r="AS1081" s="204">
        <f t="shared" si="666"/>
        <v>100</v>
      </c>
      <c r="AT1081" s="204">
        <f t="shared" si="664"/>
        <v>311.0663533624259</v>
      </c>
      <c r="AU1081" s="204">
        <f t="shared" si="667"/>
        <v>84.607913669064743</v>
      </c>
      <c r="AV1081" s="204">
        <f t="shared" si="665"/>
        <v>263.1867517063892</v>
      </c>
    </row>
    <row r="1082" spans="1:48" ht="12" customHeight="1">
      <c r="A1082" s="24"/>
      <c r="B1082" s="24"/>
      <c r="C1082" s="24"/>
      <c r="D1082" s="24"/>
      <c r="E1082" s="24"/>
      <c r="F1082" s="24"/>
      <c r="G1082" s="24"/>
      <c r="H1082" s="393"/>
      <c r="I1082" s="465"/>
      <c r="J1082" s="281"/>
      <c r="K1082" s="2"/>
      <c r="L1082" s="112"/>
      <c r="M1082" s="112"/>
      <c r="N1082" s="113"/>
      <c r="O1082" s="113"/>
      <c r="P1082" s="114"/>
      <c r="Q1082" s="114"/>
      <c r="R1082" s="88"/>
      <c r="S1082" s="90"/>
      <c r="T1082" s="90"/>
      <c r="U1082" s="90"/>
      <c r="V1082" s="200"/>
      <c r="W1082" s="200"/>
      <c r="X1082" s="167"/>
      <c r="Y1082" s="370"/>
      <c r="Z1082" s="370"/>
      <c r="AA1082" s="370" t="e">
        <f t="shared" ca="1" si="661"/>
        <v>#NAME?</v>
      </c>
      <c r="AB1082" s="171"/>
      <c r="AC1082" s="172"/>
      <c r="AD1082" s="172"/>
      <c r="AE1082" s="178"/>
      <c r="AF1082" s="178"/>
      <c r="AG1082" s="178"/>
      <c r="AH1082" s="178"/>
      <c r="AI1082" s="171"/>
      <c r="AJ1082" s="370"/>
      <c r="AK1082" s="171"/>
      <c r="AL1082" s="171"/>
      <c r="AM1082" s="171"/>
      <c r="AN1082" s="90"/>
      <c r="AO1082" s="193"/>
      <c r="AP1082" s="193" t="e">
        <f t="shared" ca="1" si="658"/>
        <v>#NAME?</v>
      </c>
      <c r="AQ1082" s="200"/>
      <c r="AR1082" s="204"/>
      <c r="AS1082" s="204"/>
      <c r="AT1082" s="204"/>
      <c r="AU1082" s="204"/>
      <c r="AV1082" s="204"/>
    </row>
    <row r="1083" spans="1:48" ht="12" customHeight="1">
      <c r="A1083" s="62"/>
      <c r="B1083" s="62"/>
      <c r="C1083" s="62"/>
      <c r="D1083" s="62"/>
      <c r="E1083" s="62"/>
      <c r="F1083" s="62"/>
      <c r="G1083" s="62"/>
      <c r="H1083" s="304"/>
      <c r="I1083" s="464"/>
      <c r="J1083" s="303">
        <v>321</v>
      </c>
      <c r="K1083" s="19" t="s">
        <v>829</v>
      </c>
      <c r="L1083" s="112">
        <f t="shared" ref="L1083:Z1083" si="677">L1084</f>
        <v>0</v>
      </c>
      <c r="M1083" s="112">
        <f t="shared" si="677"/>
        <v>0</v>
      </c>
      <c r="N1083" s="113">
        <f t="shared" si="677"/>
        <v>590</v>
      </c>
      <c r="O1083" s="113">
        <f t="shared" si="677"/>
        <v>78.306456964629362</v>
      </c>
      <c r="P1083" s="114">
        <f t="shared" si="677"/>
        <v>400</v>
      </c>
      <c r="Q1083" s="114">
        <f t="shared" si="677"/>
        <v>400</v>
      </c>
      <c r="R1083" s="88">
        <f t="shared" si="677"/>
        <v>0</v>
      </c>
      <c r="S1083" s="90">
        <f t="shared" si="677"/>
        <v>0</v>
      </c>
      <c r="T1083" s="90"/>
      <c r="U1083" s="90"/>
      <c r="V1083" s="200">
        <f>V1084</f>
        <v>1000</v>
      </c>
      <c r="W1083" s="200">
        <f t="shared" si="677"/>
        <v>1000</v>
      </c>
      <c r="X1083" s="88">
        <f t="shared" si="677"/>
        <v>700</v>
      </c>
      <c r="Y1083" s="171">
        <f t="shared" si="677"/>
        <v>700</v>
      </c>
      <c r="Z1083" s="171">
        <f t="shared" si="677"/>
        <v>0</v>
      </c>
      <c r="AA1083" s="370" t="e">
        <f t="shared" ca="1" si="661"/>
        <v>#NAME?</v>
      </c>
      <c r="AB1083" s="171"/>
      <c r="AC1083" s="172">
        <f>AC1084</f>
        <v>400</v>
      </c>
      <c r="AD1083" s="172">
        <f>AD1084</f>
        <v>400</v>
      </c>
      <c r="AE1083" s="178"/>
      <c r="AF1083" s="178"/>
      <c r="AG1083" s="178"/>
      <c r="AH1083" s="178"/>
      <c r="AI1083" s="171"/>
      <c r="AJ1083" s="171">
        <v>700</v>
      </c>
      <c r="AK1083" s="171"/>
      <c r="AL1083" s="171">
        <f t="shared" si="652"/>
        <v>70</v>
      </c>
      <c r="AM1083" s="171">
        <f t="shared" si="652"/>
        <v>100</v>
      </c>
      <c r="AN1083" s="90"/>
      <c r="AO1083" s="193"/>
      <c r="AP1083" s="193" t="e">
        <f t="shared" ca="1" si="658"/>
        <v>#NAME?</v>
      </c>
      <c r="AQ1083" s="200">
        <f>AQ1084+AQ1085</f>
        <v>515</v>
      </c>
      <c r="AR1083" s="204"/>
      <c r="AS1083" s="204">
        <f t="shared" si="666"/>
        <v>100</v>
      </c>
      <c r="AT1083" s="204"/>
      <c r="AU1083" s="204">
        <f t="shared" si="667"/>
        <v>51.5</v>
      </c>
      <c r="AV1083" s="204"/>
    </row>
    <row r="1084" spans="1:48" ht="12" customHeight="1">
      <c r="A1084" s="53"/>
      <c r="B1084" s="53"/>
      <c r="C1084" s="53"/>
      <c r="D1084" s="53"/>
      <c r="E1084" s="53"/>
      <c r="F1084" s="53"/>
      <c r="G1084" s="53"/>
      <c r="H1084" s="1">
        <v>51</v>
      </c>
      <c r="I1084" s="397">
        <v>820</v>
      </c>
      <c r="J1084" s="229">
        <v>3211</v>
      </c>
      <c r="K1084" s="18" t="s">
        <v>235</v>
      </c>
      <c r="L1084" s="130">
        <v>0</v>
      </c>
      <c r="M1084" s="130">
        <v>0</v>
      </c>
      <c r="N1084" s="131">
        <v>590</v>
      </c>
      <c r="O1084" s="131">
        <f>N1084/7.5345</f>
        <v>78.306456964629362</v>
      </c>
      <c r="P1084" s="132">
        <v>400</v>
      </c>
      <c r="Q1084" s="132">
        <v>400</v>
      </c>
      <c r="R1084" s="159">
        <v>0</v>
      </c>
      <c r="S1084" s="165"/>
      <c r="T1084" s="165"/>
      <c r="U1084" s="165"/>
      <c r="V1084" s="200">
        <v>1000</v>
      </c>
      <c r="W1084" s="200">
        <v>1000</v>
      </c>
      <c r="X1084" s="164">
        <v>700</v>
      </c>
      <c r="Y1084" s="378">
        <v>700</v>
      </c>
      <c r="Z1084" s="378"/>
      <c r="AA1084" s="370" t="e">
        <f t="shared" ca="1" si="661"/>
        <v>#NAME?</v>
      </c>
      <c r="AB1084" s="183"/>
      <c r="AC1084" s="178">
        <v>400</v>
      </c>
      <c r="AD1084" s="178">
        <v>400</v>
      </c>
      <c r="AE1084" s="178"/>
      <c r="AF1084" s="178"/>
      <c r="AG1084" s="178"/>
      <c r="AH1084" s="178"/>
      <c r="AI1084" s="183"/>
      <c r="AJ1084" s="378">
        <v>700</v>
      </c>
      <c r="AK1084" s="171"/>
      <c r="AL1084" s="171">
        <f t="shared" si="652"/>
        <v>70</v>
      </c>
      <c r="AM1084" s="171">
        <f t="shared" si="652"/>
        <v>100</v>
      </c>
      <c r="AN1084" s="165"/>
      <c r="AO1084" s="193"/>
      <c r="AP1084" s="193" t="e">
        <f t="shared" ca="1" si="658"/>
        <v>#NAME?</v>
      </c>
      <c r="AQ1084" s="200"/>
      <c r="AR1084" s="204"/>
      <c r="AS1084" s="204">
        <f t="shared" si="666"/>
        <v>100</v>
      </c>
      <c r="AT1084" s="204"/>
      <c r="AU1084" s="204">
        <f t="shared" si="667"/>
        <v>0</v>
      </c>
      <c r="AV1084" s="204"/>
    </row>
    <row r="1085" spans="1:48" ht="12" customHeight="1">
      <c r="A1085" s="209"/>
      <c r="B1085" s="209"/>
      <c r="C1085" s="209"/>
      <c r="D1085" s="209"/>
      <c r="E1085" s="209"/>
      <c r="F1085" s="209"/>
      <c r="G1085" s="209"/>
      <c r="H1085" s="549"/>
      <c r="I1085" s="11"/>
      <c r="J1085" s="229">
        <v>3213</v>
      </c>
      <c r="K1085" s="278" t="s">
        <v>237</v>
      </c>
      <c r="L1085" s="347"/>
      <c r="M1085" s="347"/>
      <c r="N1085" s="348"/>
      <c r="O1085" s="348"/>
      <c r="P1085" s="349"/>
      <c r="Q1085" s="349"/>
      <c r="R1085" s="362"/>
      <c r="S1085" s="384"/>
      <c r="T1085" s="384"/>
      <c r="U1085" s="384"/>
      <c r="V1085" s="200"/>
      <c r="W1085" s="200"/>
      <c r="X1085" s="166"/>
      <c r="Y1085" s="379"/>
      <c r="Z1085" s="379"/>
      <c r="AA1085" s="370" t="e">
        <f t="shared" ca="1" si="661"/>
        <v>#NAME?</v>
      </c>
      <c r="AB1085" s="380"/>
      <c r="AC1085" s="381"/>
      <c r="AD1085" s="381"/>
      <c r="AE1085" s="178"/>
      <c r="AF1085" s="178"/>
      <c r="AG1085" s="178"/>
      <c r="AH1085" s="178"/>
      <c r="AI1085" s="380"/>
      <c r="AJ1085" s="379"/>
      <c r="AK1085" s="171"/>
      <c r="AL1085" s="171"/>
      <c r="AM1085" s="171"/>
      <c r="AN1085" s="384"/>
      <c r="AO1085" s="193"/>
      <c r="AP1085" s="193" t="e">
        <f t="shared" ca="1" si="658"/>
        <v>#NAME?</v>
      </c>
      <c r="AQ1085" s="200">
        <v>515</v>
      </c>
      <c r="AR1085" s="204"/>
      <c r="AS1085" s="204"/>
      <c r="AT1085" s="204"/>
      <c r="AU1085" s="204"/>
      <c r="AV1085" s="204"/>
    </row>
    <row r="1086" spans="1:48" ht="12" customHeight="1">
      <c r="A1086" s="209"/>
      <c r="B1086" s="209"/>
      <c r="C1086" s="209"/>
      <c r="D1086" s="209"/>
      <c r="E1086" s="209"/>
      <c r="F1086" s="209"/>
      <c r="G1086" s="209"/>
      <c r="H1086" s="549"/>
      <c r="I1086" s="11"/>
      <c r="J1086" s="18"/>
      <c r="K1086" s="278"/>
      <c r="L1086" s="408"/>
      <c r="M1086" s="408"/>
      <c r="N1086" s="409"/>
      <c r="O1086" s="409"/>
      <c r="P1086" s="410"/>
      <c r="Q1086" s="410"/>
      <c r="R1086" s="418"/>
      <c r="S1086" s="432"/>
      <c r="T1086" s="432"/>
      <c r="U1086" s="432"/>
      <c r="V1086" s="200"/>
      <c r="W1086" s="200"/>
      <c r="X1086" s="420"/>
      <c r="Y1086" s="426"/>
      <c r="Z1086" s="426"/>
      <c r="AA1086" s="370" t="e">
        <f t="shared" ca="1" si="661"/>
        <v>#NAME?</v>
      </c>
      <c r="AB1086" s="427"/>
      <c r="AC1086" s="428"/>
      <c r="AD1086" s="428"/>
      <c r="AE1086" s="178"/>
      <c r="AF1086" s="178"/>
      <c r="AG1086" s="178"/>
      <c r="AH1086" s="178"/>
      <c r="AI1086" s="427"/>
      <c r="AJ1086" s="426"/>
      <c r="AK1086" s="171"/>
      <c r="AL1086" s="171"/>
      <c r="AM1086" s="171"/>
      <c r="AN1086" s="432"/>
      <c r="AO1086" s="193"/>
      <c r="AP1086" s="193" t="e">
        <f t="shared" ca="1" si="658"/>
        <v>#NAME?</v>
      </c>
      <c r="AQ1086" s="200"/>
      <c r="AR1086" s="204"/>
      <c r="AS1086" s="204"/>
      <c r="AT1086" s="204"/>
      <c r="AU1086" s="204"/>
      <c r="AV1086" s="204"/>
    </row>
    <row r="1087" spans="1:48" ht="12" customHeight="1">
      <c r="A1087" s="62"/>
      <c r="B1087" s="62"/>
      <c r="C1087" s="62"/>
      <c r="D1087" s="62"/>
      <c r="E1087" s="62"/>
      <c r="F1087" s="62"/>
      <c r="G1087" s="62"/>
      <c r="H1087" s="304"/>
      <c r="I1087" s="464"/>
      <c r="J1087" s="303">
        <v>322</v>
      </c>
      <c r="K1087" s="19" t="s">
        <v>580</v>
      </c>
      <c r="L1087" s="335">
        <f t="shared" ref="L1087:S1087" si="678">L1088+L1089+L1090+L1091</f>
        <v>1610</v>
      </c>
      <c r="M1087" s="335">
        <f t="shared" si="678"/>
        <v>213.68372154754792</v>
      </c>
      <c r="N1087" s="336">
        <f t="shared" si="678"/>
        <v>3261</v>
      </c>
      <c r="O1087" s="336">
        <f t="shared" si="678"/>
        <v>432.80907824009552</v>
      </c>
      <c r="P1087" s="337">
        <f t="shared" si="678"/>
        <v>1700</v>
      </c>
      <c r="Q1087" s="337">
        <f t="shared" si="678"/>
        <v>1700</v>
      </c>
      <c r="R1087" s="359">
        <f t="shared" si="678"/>
        <v>610</v>
      </c>
      <c r="S1087" s="360">
        <f t="shared" si="678"/>
        <v>0</v>
      </c>
      <c r="T1087" s="360"/>
      <c r="U1087" s="360"/>
      <c r="V1087" s="200">
        <f>V1088+V1089+V1090+V1091</f>
        <v>1800</v>
      </c>
      <c r="W1087" s="200">
        <f>W1088+W1089+W1090+W1091</f>
        <v>1800</v>
      </c>
      <c r="X1087" s="359">
        <f>X1088+X1089+X1090+X1091</f>
        <v>2000</v>
      </c>
      <c r="Y1087" s="371">
        <f>Y1088+Y1089+Y1090+Y1091</f>
        <v>2200</v>
      </c>
      <c r="Z1087" s="371">
        <f>Z1088+Z1089+Z1090+Z1091</f>
        <v>0</v>
      </c>
      <c r="AA1087" s="370" t="e">
        <f t="shared" ca="1" si="661"/>
        <v>#NAME?</v>
      </c>
      <c r="AB1087" s="371"/>
      <c r="AC1087" s="372">
        <f>AC1088+AC1089+AC1090+AC1091</f>
        <v>1700</v>
      </c>
      <c r="AD1087" s="372">
        <f>AD1088+AD1089+AD1090+AD1091</f>
        <v>1700</v>
      </c>
      <c r="AE1087" s="178">
        <f>O1087/M1087*100</f>
        <v>202.54658385093168</v>
      </c>
      <c r="AF1087" s="178">
        <f>P1087/O1087*100</f>
        <v>392.78288868445264</v>
      </c>
      <c r="AG1087" s="178">
        <f>Q1087/P1087*100</f>
        <v>100</v>
      </c>
      <c r="AH1087" s="178">
        <f>AC1087/Q1087*100</f>
        <v>100</v>
      </c>
      <c r="AI1087" s="371"/>
      <c r="AJ1087" s="371">
        <v>2200</v>
      </c>
      <c r="AK1087" s="171">
        <f t="shared" si="651"/>
        <v>295.08196721311475</v>
      </c>
      <c r="AL1087" s="171">
        <f t="shared" si="652"/>
        <v>111.11111111111111</v>
      </c>
      <c r="AM1087" s="171">
        <f t="shared" si="652"/>
        <v>110.00000000000001</v>
      </c>
      <c r="AN1087" s="360"/>
      <c r="AO1087" s="193"/>
      <c r="AP1087" s="193" t="e">
        <f t="shared" ca="1" si="658"/>
        <v>#NAME?</v>
      </c>
      <c r="AQ1087" s="200">
        <f>AQ1088+AQ1089+AQ1090+AQ1091</f>
        <v>824</v>
      </c>
      <c r="AR1087" s="204">
        <f t="shared" si="663"/>
        <v>295.08196721311475</v>
      </c>
      <c r="AS1087" s="204">
        <f t="shared" si="666"/>
        <v>100</v>
      </c>
      <c r="AT1087" s="204">
        <f t="shared" si="664"/>
        <v>295.08196721311475</v>
      </c>
      <c r="AU1087" s="204">
        <f t="shared" si="667"/>
        <v>45.777777777777779</v>
      </c>
      <c r="AV1087" s="204">
        <f t="shared" si="665"/>
        <v>135.08196721311475</v>
      </c>
    </row>
    <row r="1088" spans="1:48" ht="12" customHeight="1">
      <c r="A1088" s="53"/>
      <c r="B1088" s="53"/>
      <c r="C1088" s="53"/>
      <c r="D1088" s="53"/>
      <c r="E1088" s="53"/>
      <c r="F1088" s="53"/>
      <c r="G1088" s="53"/>
      <c r="H1088" s="1">
        <v>53</v>
      </c>
      <c r="I1088" s="397">
        <v>820</v>
      </c>
      <c r="J1088" s="229">
        <v>3221</v>
      </c>
      <c r="K1088" s="18" t="s">
        <v>830</v>
      </c>
      <c r="L1088" s="130">
        <v>1154</v>
      </c>
      <c r="M1088" s="130">
        <f>1154/7.5345</f>
        <v>153.16212091047845</v>
      </c>
      <c r="N1088" s="131">
        <v>1736</v>
      </c>
      <c r="O1088" s="131">
        <f>N1088/7.5345</f>
        <v>230.40679540779081</v>
      </c>
      <c r="P1088" s="132">
        <v>400</v>
      </c>
      <c r="Q1088" s="132">
        <v>400</v>
      </c>
      <c r="R1088" s="159">
        <v>501</v>
      </c>
      <c r="S1088" s="165"/>
      <c r="T1088" s="165"/>
      <c r="U1088" s="165"/>
      <c r="V1088" s="200">
        <v>500</v>
      </c>
      <c r="W1088" s="200">
        <v>500</v>
      </c>
      <c r="X1088" s="164">
        <v>600</v>
      </c>
      <c r="Y1088" s="378">
        <v>600</v>
      </c>
      <c r="Z1088" s="378"/>
      <c r="AA1088" s="370" t="e">
        <f t="shared" ca="1" si="661"/>
        <v>#NAME?</v>
      </c>
      <c r="AB1088" s="183"/>
      <c r="AC1088" s="178">
        <v>400</v>
      </c>
      <c r="AD1088" s="178">
        <v>400</v>
      </c>
      <c r="AE1088" s="178">
        <f>O1088/M1088*100</f>
        <v>150.43327556325823</v>
      </c>
      <c r="AF1088" s="178">
        <f>P1088/O1088*100</f>
        <v>173.60599078341014</v>
      </c>
      <c r="AG1088" s="178">
        <f>Q1088/P1088*100</f>
        <v>100</v>
      </c>
      <c r="AH1088" s="178">
        <f>AC1088/Q1088*100</f>
        <v>100</v>
      </c>
      <c r="AI1088" s="183"/>
      <c r="AJ1088" s="378">
        <v>600</v>
      </c>
      <c r="AK1088" s="171">
        <f t="shared" si="651"/>
        <v>99.800399201596804</v>
      </c>
      <c r="AL1088" s="171">
        <f t="shared" si="652"/>
        <v>120</v>
      </c>
      <c r="AM1088" s="171">
        <f t="shared" si="652"/>
        <v>100</v>
      </c>
      <c r="AN1088" s="165"/>
      <c r="AO1088" s="193"/>
      <c r="AP1088" s="193" t="e">
        <f t="shared" ca="1" si="658"/>
        <v>#NAME?</v>
      </c>
      <c r="AQ1088" s="200">
        <v>565</v>
      </c>
      <c r="AR1088" s="204">
        <f t="shared" si="663"/>
        <v>99.800399201596804</v>
      </c>
      <c r="AS1088" s="204">
        <f t="shared" si="666"/>
        <v>100</v>
      </c>
      <c r="AT1088" s="204">
        <f t="shared" si="664"/>
        <v>99.800399201596804</v>
      </c>
      <c r="AU1088" s="204">
        <f t="shared" si="667"/>
        <v>112.99999999999999</v>
      </c>
      <c r="AV1088" s="204">
        <f t="shared" si="665"/>
        <v>112.7744510978044</v>
      </c>
    </row>
    <row r="1089" spans="1:48" ht="12" customHeight="1">
      <c r="A1089" s="53"/>
      <c r="B1089" s="53"/>
      <c r="C1089" s="53"/>
      <c r="D1089" s="53"/>
      <c r="E1089" s="53"/>
      <c r="F1089" s="53"/>
      <c r="G1089" s="53"/>
      <c r="H1089" s="1" t="s">
        <v>831</v>
      </c>
      <c r="I1089" s="397">
        <v>820</v>
      </c>
      <c r="J1089" s="229">
        <v>3223</v>
      </c>
      <c r="K1089" s="18" t="s">
        <v>242</v>
      </c>
      <c r="L1089" s="130">
        <v>0</v>
      </c>
      <c r="M1089" s="130">
        <v>0</v>
      </c>
      <c r="N1089" s="131">
        <v>0</v>
      </c>
      <c r="O1089" s="131">
        <f>N1089/7.5345</f>
        <v>0</v>
      </c>
      <c r="P1089" s="132">
        <v>700</v>
      </c>
      <c r="Q1089" s="132">
        <v>700</v>
      </c>
      <c r="R1089" s="159">
        <v>0</v>
      </c>
      <c r="S1089" s="165"/>
      <c r="T1089" s="165"/>
      <c r="U1089" s="165"/>
      <c r="V1089" s="200">
        <v>700</v>
      </c>
      <c r="W1089" s="200">
        <v>700</v>
      </c>
      <c r="X1089" s="164">
        <v>800</v>
      </c>
      <c r="Y1089" s="378">
        <v>800</v>
      </c>
      <c r="Z1089" s="378"/>
      <c r="AA1089" s="370" t="e">
        <f t="shared" ca="1" si="661"/>
        <v>#NAME?</v>
      </c>
      <c r="AB1089" s="183"/>
      <c r="AC1089" s="178">
        <v>700</v>
      </c>
      <c r="AD1089" s="178">
        <v>700</v>
      </c>
      <c r="AE1089" s="178"/>
      <c r="AF1089" s="178"/>
      <c r="AG1089" s="178"/>
      <c r="AH1089" s="178"/>
      <c r="AI1089" s="183"/>
      <c r="AJ1089" s="378">
        <v>800</v>
      </c>
      <c r="AK1089" s="171"/>
      <c r="AL1089" s="171">
        <f t="shared" si="652"/>
        <v>114.28571428571428</v>
      </c>
      <c r="AM1089" s="171">
        <f t="shared" si="652"/>
        <v>100</v>
      </c>
      <c r="AN1089" s="165"/>
      <c r="AO1089" s="193"/>
      <c r="AP1089" s="193" t="e">
        <f t="shared" ca="1" si="658"/>
        <v>#NAME?</v>
      </c>
      <c r="AQ1089" s="200">
        <v>0</v>
      </c>
      <c r="AR1089" s="204"/>
      <c r="AS1089" s="204">
        <f t="shared" si="666"/>
        <v>100</v>
      </c>
      <c r="AT1089" s="204"/>
      <c r="AU1089" s="204">
        <f t="shared" si="667"/>
        <v>0</v>
      </c>
      <c r="AV1089" s="204"/>
    </row>
    <row r="1090" spans="1:48" ht="12" customHeight="1">
      <c r="A1090" s="53"/>
      <c r="B1090" s="53"/>
      <c r="C1090" s="53"/>
      <c r="D1090" s="53"/>
      <c r="E1090" s="53"/>
      <c r="F1090" s="53"/>
      <c r="G1090" s="53"/>
      <c r="H1090" s="1">
        <v>54</v>
      </c>
      <c r="I1090" s="397">
        <v>820</v>
      </c>
      <c r="J1090" s="229">
        <v>3224</v>
      </c>
      <c r="K1090" s="18" t="s">
        <v>832</v>
      </c>
      <c r="L1090" s="130">
        <v>456</v>
      </c>
      <c r="M1090" s="130">
        <f>456/7.5345</f>
        <v>60.521600637069476</v>
      </c>
      <c r="N1090" s="131">
        <v>0</v>
      </c>
      <c r="O1090" s="131">
        <f>N1090/7.5345</f>
        <v>0</v>
      </c>
      <c r="P1090" s="132">
        <v>300</v>
      </c>
      <c r="Q1090" s="132">
        <v>300</v>
      </c>
      <c r="R1090" s="159">
        <v>38</v>
      </c>
      <c r="S1090" s="165"/>
      <c r="T1090" s="165"/>
      <c r="U1090" s="165"/>
      <c r="V1090" s="200">
        <v>300</v>
      </c>
      <c r="W1090" s="200">
        <v>300</v>
      </c>
      <c r="X1090" s="164">
        <v>300</v>
      </c>
      <c r="Y1090" s="378">
        <v>400</v>
      </c>
      <c r="Z1090" s="378"/>
      <c r="AA1090" s="370" t="e">
        <f t="shared" ca="1" si="661"/>
        <v>#NAME?</v>
      </c>
      <c r="AB1090" s="183"/>
      <c r="AC1090" s="178">
        <v>300</v>
      </c>
      <c r="AD1090" s="178">
        <v>300</v>
      </c>
      <c r="AE1090" s="178">
        <f>O1090/M1090*100</f>
        <v>0</v>
      </c>
      <c r="AF1090" s="178"/>
      <c r="AG1090" s="178"/>
      <c r="AH1090" s="178"/>
      <c r="AI1090" s="183"/>
      <c r="AJ1090" s="378">
        <v>400</v>
      </c>
      <c r="AK1090" s="171">
        <f t="shared" si="651"/>
        <v>789.47368421052624</v>
      </c>
      <c r="AL1090" s="171">
        <f t="shared" si="652"/>
        <v>100</v>
      </c>
      <c r="AM1090" s="171">
        <f t="shared" si="652"/>
        <v>133.33333333333331</v>
      </c>
      <c r="AN1090" s="165"/>
      <c r="AO1090" s="193"/>
      <c r="AP1090" s="193" t="e">
        <f t="shared" ca="1" si="658"/>
        <v>#NAME?</v>
      </c>
      <c r="AQ1090" s="200">
        <v>115</v>
      </c>
      <c r="AR1090" s="204">
        <f t="shared" si="663"/>
        <v>789.47368421052624</v>
      </c>
      <c r="AS1090" s="204">
        <f t="shared" si="666"/>
        <v>100</v>
      </c>
      <c r="AT1090" s="204">
        <f t="shared" si="664"/>
        <v>789.47368421052624</v>
      </c>
      <c r="AU1090" s="204">
        <f t="shared" si="667"/>
        <v>38.333333333333336</v>
      </c>
      <c r="AV1090" s="204">
        <f t="shared" si="665"/>
        <v>302.63157894736838</v>
      </c>
    </row>
    <row r="1091" spans="1:48" ht="12" customHeight="1">
      <c r="A1091" s="53"/>
      <c r="B1091" s="53"/>
      <c r="C1091" s="53"/>
      <c r="D1091" s="53"/>
      <c r="E1091" s="53"/>
      <c r="F1091" s="53"/>
      <c r="G1091" s="53"/>
      <c r="H1091" s="1" t="s">
        <v>833</v>
      </c>
      <c r="I1091" s="397">
        <v>820</v>
      </c>
      <c r="J1091" s="229">
        <v>3225</v>
      </c>
      <c r="K1091" s="18" t="s">
        <v>353</v>
      </c>
      <c r="L1091" s="130">
        <v>0</v>
      </c>
      <c r="M1091" s="130">
        <v>0</v>
      </c>
      <c r="N1091" s="131">
        <v>1525</v>
      </c>
      <c r="O1091" s="131">
        <f>N1091/7.5345</f>
        <v>202.40228283230471</v>
      </c>
      <c r="P1091" s="132">
        <v>300</v>
      </c>
      <c r="Q1091" s="132">
        <v>300</v>
      </c>
      <c r="R1091" s="159">
        <v>71</v>
      </c>
      <c r="S1091" s="165"/>
      <c r="T1091" s="165"/>
      <c r="U1091" s="165"/>
      <c r="V1091" s="200">
        <v>300</v>
      </c>
      <c r="W1091" s="200">
        <v>300</v>
      </c>
      <c r="X1091" s="164">
        <v>300</v>
      </c>
      <c r="Y1091" s="378">
        <v>400</v>
      </c>
      <c r="Z1091" s="378"/>
      <c r="AA1091" s="370" t="e">
        <f t="shared" ca="1" si="661"/>
        <v>#NAME?</v>
      </c>
      <c r="AB1091" s="183"/>
      <c r="AC1091" s="178">
        <v>300</v>
      </c>
      <c r="AD1091" s="178">
        <v>300</v>
      </c>
      <c r="AE1091" s="178"/>
      <c r="AF1091" s="178">
        <f>P1091/O1091*100</f>
        <v>148.21967213114755</v>
      </c>
      <c r="AG1091" s="178">
        <f>Q1091/P1091*100</f>
        <v>100</v>
      </c>
      <c r="AH1091" s="178">
        <f>AC1091/Q1091*100</f>
        <v>100</v>
      </c>
      <c r="AI1091" s="183"/>
      <c r="AJ1091" s="378">
        <v>400</v>
      </c>
      <c r="AK1091" s="171">
        <f t="shared" si="651"/>
        <v>422.53521126760563</v>
      </c>
      <c r="AL1091" s="171">
        <f t="shared" si="652"/>
        <v>100</v>
      </c>
      <c r="AM1091" s="171">
        <f t="shared" si="652"/>
        <v>133.33333333333331</v>
      </c>
      <c r="AN1091" s="165"/>
      <c r="AO1091" s="193"/>
      <c r="AP1091" s="193" t="e">
        <f t="shared" ca="1" si="658"/>
        <v>#NAME?</v>
      </c>
      <c r="AQ1091" s="200">
        <v>144</v>
      </c>
      <c r="AR1091" s="204">
        <f t="shared" si="663"/>
        <v>422.53521126760563</v>
      </c>
      <c r="AS1091" s="204">
        <f t="shared" si="666"/>
        <v>100</v>
      </c>
      <c r="AT1091" s="204">
        <f t="shared" si="664"/>
        <v>422.53521126760563</v>
      </c>
      <c r="AU1091" s="204">
        <f t="shared" si="667"/>
        <v>48</v>
      </c>
      <c r="AV1091" s="204">
        <f t="shared" si="665"/>
        <v>202.81690140845069</v>
      </c>
    </row>
    <row r="1092" spans="1:48" ht="12" customHeight="1">
      <c r="A1092" s="69"/>
      <c r="B1092" s="69"/>
      <c r="C1092" s="69"/>
      <c r="D1092" s="69"/>
      <c r="E1092" s="69"/>
      <c r="F1092" s="69"/>
      <c r="G1092" s="69"/>
      <c r="H1092" s="436"/>
      <c r="I1092" s="3"/>
      <c r="J1092" s="7"/>
      <c r="K1092" s="7"/>
      <c r="L1092" s="85"/>
      <c r="M1092" s="85"/>
      <c r="N1092" s="86"/>
      <c r="O1092" s="86"/>
      <c r="P1092" s="87"/>
      <c r="Q1092" s="87"/>
      <c r="R1092" s="160"/>
      <c r="S1092" s="161"/>
      <c r="T1092" s="161"/>
      <c r="U1092" s="161"/>
      <c r="V1092" s="200"/>
      <c r="W1092" s="200"/>
      <c r="X1092" s="361"/>
      <c r="Y1092" s="373"/>
      <c r="Z1092" s="373"/>
      <c r="AA1092" s="370" t="e">
        <f t="shared" ca="1" si="661"/>
        <v>#NAME?</v>
      </c>
      <c r="AB1092" s="181"/>
      <c r="AC1092" s="182"/>
      <c r="AD1092" s="182"/>
      <c r="AE1092" s="178"/>
      <c r="AF1092" s="178"/>
      <c r="AG1092" s="178"/>
      <c r="AH1092" s="178"/>
      <c r="AI1092" s="181"/>
      <c r="AJ1092" s="373"/>
      <c r="AK1092" s="171"/>
      <c r="AL1092" s="171"/>
      <c r="AM1092" s="171"/>
      <c r="AN1092" s="161"/>
      <c r="AO1092" s="193"/>
      <c r="AP1092" s="193" t="e">
        <f t="shared" ca="1" si="658"/>
        <v>#NAME?</v>
      </c>
      <c r="AQ1092" s="200"/>
      <c r="AR1092" s="204"/>
      <c r="AS1092" s="204"/>
      <c r="AT1092" s="204"/>
      <c r="AU1092" s="204"/>
      <c r="AV1092" s="204"/>
    </row>
    <row r="1093" spans="1:48" ht="12" customHeight="1">
      <c r="A1093" s="62"/>
      <c r="B1093" s="62"/>
      <c r="C1093" s="62"/>
      <c r="D1093" s="62"/>
      <c r="E1093" s="62"/>
      <c r="F1093" s="62"/>
      <c r="G1093" s="62"/>
      <c r="H1093" s="304"/>
      <c r="I1093" s="464"/>
      <c r="J1093" s="303">
        <v>323</v>
      </c>
      <c r="K1093" s="19" t="s">
        <v>356</v>
      </c>
      <c r="L1093" s="112">
        <f t="shared" ref="L1093:S1093" si="679">L1094+L1095+L1096+L1097+L1098+L1099</f>
        <v>54272</v>
      </c>
      <c r="M1093" s="112">
        <f t="shared" si="679"/>
        <v>7203.1322582785851</v>
      </c>
      <c r="N1093" s="113">
        <f t="shared" si="679"/>
        <v>57638</v>
      </c>
      <c r="O1093" s="113">
        <f t="shared" si="679"/>
        <v>7649.8772314022153</v>
      </c>
      <c r="P1093" s="114">
        <f t="shared" si="679"/>
        <v>11500</v>
      </c>
      <c r="Q1093" s="114">
        <f t="shared" si="679"/>
        <v>12200</v>
      </c>
      <c r="R1093" s="88">
        <f t="shared" si="679"/>
        <v>6101</v>
      </c>
      <c r="S1093" s="90">
        <f t="shared" si="679"/>
        <v>0</v>
      </c>
      <c r="T1093" s="90"/>
      <c r="U1093" s="90"/>
      <c r="V1093" s="200">
        <f>V1094+V1095+V1096+V1097+V1098+V1099</f>
        <v>17000</v>
      </c>
      <c r="W1093" s="200">
        <f>W1094+W1095+W1096+W1097+W1098+W1099</f>
        <v>17000</v>
      </c>
      <c r="X1093" s="88">
        <f>X1094+X1095+X1096+X1097+X1098+X1099</f>
        <v>16600</v>
      </c>
      <c r="Y1093" s="171">
        <f>Y1094+Y1095+Y1096+Y1097+Y1098+Y1099</f>
        <v>17100</v>
      </c>
      <c r="Z1093" s="171">
        <f>Z1094+Z1095+Z1096+Z1097+Z1098+Z1099</f>
        <v>0</v>
      </c>
      <c r="AA1093" s="370" t="e">
        <f t="shared" ca="1" si="661"/>
        <v>#NAME?</v>
      </c>
      <c r="AB1093" s="171"/>
      <c r="AC1093" s="172">
        <f>AC1094+AC1095+AC1096+AC1097+AC1098+AC1099</f>
        <v>12200</v>
      </c>
      <c r="AD1093" s="172">
        <f>AD1094+AD1095+AD1096+AD1097+AD1098+AD1099</f>
        <v>12200</v>
      </c>
      <c r="AE1093" s="178">
        <f t="shared" ref="AE1093:AE1099" si="680">O1093/M1093*100</f>
        <v>106.20209316037734</v>
      </c>
      <c r="AF1093" s="178">
        <f>P1093/O1093*100</f>
        <v>150.32920989624904</v>
      </c>
      <c r="AG1093" s="178">
        <f>Q1093/P1093*100</f>
        <v>106.08695652173914</v>
      </c>
      <c r="AH1093" s="178">
        <f>AC1093/Q1093*100</f>
        <v>100</v>
      </c>
      <c r="AI1093" s="171"/>
      <c r="AJ1093" s="171">
        <v>17100</v>
      </c>
      <c r="AK1093" s="171">
        <f t="shared" si="651"/>
        <v>278.64284543517454</v>
      </c>
      <c r="AL1093" s="171">
        <f t="shared" si="652"/>
        <v>97.647058823529406</v>
      </c>
      <c r="AM1093" s="171">
        <f t="shared" si="652"/>
        <v>103.01204819277108</v>
      </c>
      <c r="AN1093" s="90"/>
      <c r="AO1093" s="193"/>
      <c r="AP1093" s="193" t="e">
        <f t="shared" ca="1" si="658"/>
        <v>#NAME?</v>
      </c>
      <c r="AQ1093" s="200">
        <f>AQ1094+AQ1095+AQ1096+AQ1097+AQ1098+AQ1099</f>
        <v>16739</v>
      </c>
      <c r="AR1093" s="204">
        <f t="shared" si="663"/>
        <v>278.64284543517454</v>
      </c>
      <c r="AS1093" s="204">
        <f t="shared" si="666"/>
        <v>100</v>
      </c>
      <c r="AT1093" s="204">
        <f t="shared" si="664"/>
        <v>278.64284543517454</v>
      </c>
      <c r="AU1093" s="204">
        <f t="shared" si="667"/>
        <v>98.464705882352945</v>
      </c>
      <c r="AV1093" s="204">
        <f t="shared" si="665"/>
        <v>274.36485821996393</v>
      </c>
    </row>
    <row r="1094" spans="1:48" ht="12" customHeight="1">
      <c r="A1094" s="53"/>
      <c r="B1094" s="53"/>
      <c r="C1094" s="53"/>
      <c r="D1094" s="53"/>
      <c r="E1094" s="53"/>
      <c r="F1094" s="53"/>
      <c r="G1094" s="53"/>
      <c r="H1094" s="1">
        <v>57</v>
      </c>
      <c r="I1094" s="397">
        <v>820</v>
      </c>
      <c r="J1094" s="229">
        <v>3231</v>
      </c>
      <c r="K1094" s="18" t="s">
        <v>834</v>
      </c>
      <c r="L1094" s="130">
        <v>4510</v>
      </c>
      <c r="M1094" s="130">
        <f>4510/7.5345</f>
        <v>598.57986594996351</v>
      </c>
      <c r="N1094" s="131">
        <v>4142</v>
      </c>
      <c r="O1094" s="131">
        <f t="shared" ref="O1094:O1099" si="681">N1094/7.5345</f>
        <v>549.7378724533811</v>
      </c>
      <c r="P1094" s="132">
        <v>1000</v>
      </c>
      <c r="Q1094" s="132">
        <v>1000</v>
      </c>
      <c r="R1094" s="159">
        <v>668</v>
      </c>
      <c r="S1094" s="165"/>
      <c r="T1094" s="165"/>
      <c r="U1094" s="165"/>
      <c r="V1094" s="200">
        <v>1000</v>
      </c>
      <c r="W1094" s="200">
        <v>1000</v>
      </c>
      <c r="X1094" s="164">
        <v>1100</v>
      </c>
      <c r="Y1094" s="378">
        <v>1100</v>
      </c>
      <c r="Z1094" s="378"/>
      <c r="AA1094" s="370" t="e">
        <f t="shared" ca="1" si="661"/>
        <v>#NAME?</v>
      </c>
      <c r="AB1094" s="183"/>
      <c r="AC1094" s="178">
        <v>1100</v>
      </c>
      <c r="AD1094" s="178">
        <v>1100</v>
      </c>
      <c r="AE1094" s="178">
        <f t="shared" si="680"/>
        <v>91.840354767184024</v>
      </c>
      <c r="AF1094" s="178">
        <f>P1094/O1094*100</f>
        <v>181.90487687107677</v>
      </c>
      <c r="AG1094" s="178">
        <f>Q1094/P1094*100</f>
        <v>100</v>
      </c>
      <c r="AH1094" s="178">
        <f>AC1094/Q1094*100</f>
        <v>110.00000000000001</v>
      </c>
      <c r="AI1094" s="183"/>
      <c r="AJ1094" s="378">
        <v>1100</v>
      </c>
      <c r="AK1094" s="171">
        <f t="shared" si="651"/>
        <v>149.70059880239521</v>
      </c>
      <c r="AL1094" s="171">
        <f t="shared" si="652"/>
        <v>110.00000000000001</v>
      </c>
      <c r="AM1094" s="171">
        <f t="shared" si="652"/>
        <v>100</v>
      </c>
      <c r="AN1094" s="165"/>
      <c r="AO1094" s="193"/>
      <c r="AP1094" s="193" t="e">
        <f t="shared" ca="1" si="658"/>
        <v>#NAME?</v>
      </c>
      <c r="AQ1094" s="200">
        <v>593</v>
      </c>
      <c r="AR1094" s="204">
        <f t="shared" si="663"/>
        <v>149.70059880239521</v>
      </c>
      <c r="AS1094" s="204">
        <f t="shared" si="666"/>
        <v>100</v>
      </c>
      <c r="AT1094" s="204">
        <f t="shared" si="664"/>
        <v>149.70059880239521</v>
      </c>
      <c r="AU1094" s="204">
        <f t="shared" si="667"/>
        <v>59.3</v>
      </c>
      <c r="AV1094" s="204">
        <f t="shared" si="665"/>
        <v>88.772455089820355</v>
      </c>
    </row>
    <row r="1095" spans="1:48" ht="12" customHeight="1">
      <c r="A1095" s="53"/>
      <c r="B1095" s="53"/>
      <c r="C1095" s="53"/>
      <c r="D1095" s="53"/>
      <c r="E1095" s="53"/>
      <c r="F1095" s="53"/>
      <c r="G1095" s="53"/>
      <c r="H1095" s="1">
        <v>58</v>
      </c>
      <c r="I1095" s="397">
        <v>820</v>
      </c>
      <c r="J1095" s="229">
        <v>3232</v>
      </c>
      <c r="K1095" s="18" t="s">
        <v>835</v>
      </c>
      <c r="L1095" s="130">
        <v>4903</v>
      </c>
      <c r="M1095" s="130">
        <f>4903/7.5345</f>
        <v>650.7399296569115</v>
      </c>
      <c r="N1095" s="131">
        <v>0</v>
      </c>
      <c r="O1095" s="131">
        <f t="shared" si="681"/>
        <v>0</v>
      </c>
      <c r="P1095" s="132">
        <v>500</v>
      </c>
      <c r="Q1095" s="132">
        <v>500</v>
      </c>
      <c r="R1095" s="159">
        <v>72</v>
      </c>
      <c r="S1095" s="165"/>
      <c r="T1095" s="165"/>
      <c r="U1095" s="165"/>
      <c r="V1095" s="200">
        <v>5000</v>
      </c>
      <c r="W1095" s="200">
        <v>5000</v>
      </c>
      <c r="X1095" s="164">
        <v>4000</v>
      </c>
      <c r="Y1095" s="378">
        <v>4000</v>
      </c>
      <c r="Z1095" s="378"/>
      <c r="AA1095" s="370" t="e">
        <f t="shared" ca="1" si="661"/>
        <v>#NAME?</v>
      </c>
      <c r="AB1095" s="183"/>
      <c r="AC1095" s="178">
        <v>600</v>
      </c>
      <c r="AD1095" s="178">
        <v>600</v>
      </c>
      <c r="AE1095" s="178">
        <f t="shared" si="680"/>
        <v>0</v>
      </c>
      <c r="AF1095" s="178"/>
      <c r="AG1095" s="178"/>
      <c r="AH1095" s="178"/>
      <c r="AI1095" s="183"/>
      <c r="AJ1095" s="378">
        <v>4000</v>
      </c>
      <c r="AK1095" s="171">
        <f t="shared" si="651"/>
        <v>6944.4444444444443</v>
      </c>
      <c r="AL1095" s="171">
        <f t="shared" si="652"/>
        <v>80</v>
      </c>
      <c r="AM1095" s="171">
        <f t="shared" si="652"/>
        <v>100</v>
      </c>
      <c r="AN1095" s="165"/>
      <c r="AO1095" s="193"/>
      <c r="AP1095" s="193" t="e">
        <f t="shared" ca="1" si="658"/>
        <v>#NAME?</v>
      </c>
      <c r="AQ1095" s="200">
        <v>5889</v>
      </c>
      <c r="AR1095" s="204">
        <f t="shared" si="663"/>
        <v>6944.4444444444443</v>
      </c>
      <c r="AS1095" s="204">
        <f t="shared" si="666"/>
        <v>100</v>
      </c>
      <c r="AT1095" s="204">
        <f t="shared" si="664"/>
        <v>6944.4444444444443</v>
      </c>
      <c r="AU1095" s="204">
        <f t="shared" si="667"/>
        <v>117.78</v>
      </c>
      <c r="AV1095" s="204">
        <f t="shared" si="665"/>
        <v>8179.166666666667</v>
      </c>
    </row>
    <row r="1096" spans="1:48" ht="12" customHeight="1">
      <c r="A1096" s="53"/>
      <c r="B1096" s="53"/>
      <c r="C1096" s="53"/>
      <c r="D1096" s="53"/>
      <c r="E1096" s="53"/>
      <c r="F1096" s="53"/>
      <c r="G1096" s="53"/>
      <c r="H1096" s="1" t="s">
        <v>836</v>
      </c>
      <c r="I1096" s="397">
        <v>820</v>
      </c>
      <c r="J1096" s="229">
        <v>3234</v>
      </c>
      <c r="K1096" s="18" t="s">
        <v>250</v>
      </c>
      <c r="L1096" s="130">
        <v>2159</v>
      </c>
      <c r="M1096" s="130">
        <f>2159/7.5345</f>
        <v>286.54854336717761</v>
      </c>
      <c r="N1096" s="131">
        <v>4175</v>
      </c>
      <c r="O1096" s="131">
        <f t="shared" si="681"/>
        <v>554.11772513106371</v>
      </c>
      <c r="P1096" s="132">
        <v>300</v>
      </c>
      <c r="Q1096" s="132">
        <v>1000</v>
      </c>
      <c r="R1096" s="159">
        <v>839</v>
      </c>
      <c r="S1096" s="165"/>
      <c r="T1096" s="165"/>
      <c r="U1096" s="165"/>
      <c r="V1096" s="200">
        <v>1000</v>
      </c>
      <c r="W1096" s="200">
        <v>1000</v>
      </c>
      <c r="X1096" s="164">
        <v>1100</v>
      </c>
      <c r="Y1096" s="378">
        <v>1100</v>
      </c>
      <c r="Z1096" s="378"/>
      <c r="AA1096" s="370" t="e">
        <f t="shared" ca="1" si="661"/>
        <v>#NAME?</v>
      </c>
      <c r="AB1096" s="183"/>
      <c r="AC1096" s="178">
        <v>300</v>
      </c>
      <c r="AD1096" s="178">
        <v>300</v>
      </c>
      <c r="AE1096" s="178">
        <f t="shared" si="680"/>
        <v>193.37656322371467</v>
      </c>
      <c r="AF1096" s="178">
        <f t="shared" ref="AF1096:AG1099" si="682">P1096/O1096*100</f>
        <v>54.140119760479045</v>
      </c>
      <c r="AG1096" s="178">
        <f t="shared" si="682"/>
        <v>333.33333333333337</v>
      </c>
      <c r="AH1096" s="178">
        <f>AC1096/Q1096*100</f>
        <v>30</v>
      </c>
      <c r="AI1096" s="183"/>
      <c r="AJ1096" s="378">
        <v>1100</v>
      </c>
      <c r="AK1096" s="171">
        <f t="shared" si="651"/>
        <v>119.18951132300357</v>
      </c>
      <c r="AL1096" s="171">
        <f t="shared" si="652"/>
        <v>110.00000000000001</v>
      </c>
      <c r="AM1096" s="171">
        <f t="shared" si="652"/>
        <v>100</v>
      </c>
      <c r="AN1096" s="165"/>
      <c r="AO1096" s="193"/>
      <c r="AP1096" s="193" t="e">
        <f t="shared" ca="1" si="658"/>
        <v>#NAME?</v>
      </c>
      <c r="AQ1096" s="200">
        <v>396</v>
      </c>
      <c r="AR1096" s="204">
        <f t="shared" si="663"/>
        <v>119.18951132300357</v>
      </c>
      <c r="AS1096" s="204">
        <f t="shared" si="666"/>
        <v>100</v>
      </c>
      <c r="AT1096" s="204">
        <f t="shared" si="664"/>
        <v>119.18951132300357</v>
      </c>
      <c r="AU1096" s="204">
        <f t="shared" si="667"/>
        <v>39.6</v>
      </c>
      <c r="AV1096" s="204">
        <f t="shared" si="665"/>
        <v>47.19904648390942</v>
      </c>
    </row>
    <row r="1097" spans="1:48" ht="12" customHeight="1">
      <c r="A1097" s="53"/>
      <c r="B1097" s="53"/>
      <c r="C1097" s="53"/>
      <c r="D1097" s="53"/>
      <c r="E1097" s="53"/>
      <c r="F1097" s="53"/>
      <c r="G1097" s="53"/>
      <c r="H1097" s="1">
        <v>61</v>
      </c>
      <c r="I1097" s="397">
        <v>820</v>
      </c>
      <c r="J1097" s="229">
        <v>3237</v>
      </c>
      <c r="K1097" s="18" t="s">
        <v>253</v>
      </c>
      <c r="L1097" s="130">
        <v>18376</v>
      </c>
      <c r="M1097" s="130">
        <f>18376/7.5345</f>
        <v>2438.9143274271682</v>
      </c>
      <c r="N1097" s="131">
        <v>31115</v>
      </c>
      <c r="O1097" s="131">
        <f t="shared" si="681"/>
        <v>4129.6701838210893</v>
      </c>
      <c r="P1097" s="132">
        <v>4000</v>
      </c>
      <c r="Q1097" s="132">
        <v>4000</v>
      </c>
      <c r="R1097" s="159">
        <v>2858</v>
      </c>
      <c r="S1097" s="165"/>
      <c r="T1097" s="165"/>
      <c r="U1097" s="165"/>
      <c r="V1097" s="200">
        <v>4000</v>
      </c>
      <c r="W1097" s="200">
        <v>4000</v>
      </c>
      <c r="X1097" s="164">
        <v>4200</v>
      </c>
      <c r="Y1097" s="378">
        <v>4200</v>
      </c>
      <c r="Z1097" s="378"/>
      <c r="AA1097" s="370" t="e">
        <f t="shared" ca="1" si="661"/>
        <v>#NAME?</v>
      </c>
      <c r="AB1097" s="183"/>
      <c r="AC1097" s="178">
        <v>4100</v>
      </c>
      <c r="AD1097" s="178">
        <v>4100</v>
      </c>
      <c r="AE1097" s="178">
        <f t="shared" si="680"/>
        <v>169.32411841532434</v>
      </c>
      <c r="AF1097" s="178">
        <f t="shared" si="682"/>
        <v>96.86003535272377</v>
      </c>
      <c r="AG1097" s="178">
        <f t="shared" si="682"/>
        <v>100</v>
      </c>
      <c r="AH1097" s="178">
        <f>AC1097/Q1097*100</f>
        <v>102.49999999999999</v>
      </c>
      <c r="AI1097" s="183"/>
      <c r="AJ1097" s="378">
        <v>4200</v>
      </c>
      <c r="AK1097" s="171">
        <f t="shared" si="651"/>
        <v>139.95801259622112</v>
      </c>
      <c r="AL1097" s="171">
        <f t="shared" si="652"/>
        <v>105</v>
      </c>
      <c r="AM1097" s="171">
        <f t="shared" si="652"/>
        <v>100</v>
      </c>
      <c r="AN1097" s="165"/>
      <c r="AO1097" s="193"/>
      <c r="AP1097" s="193" t="e">
        <f t="shared" ca="1" si="658"/>
        <v>#NAME?</v>
      </c>
      <c r="AQ1097" s="200">
        <v>5630</v>
      </c>
      <c r="AR1097" s="204">
        <f t="shared" si="663"/>
        <v>139.95801259622112</v>
      </c>
      <c r="AS1097" s="204">
        <f t="shared" si="666"/>
        <v>100</v>
      </c>
      <c r="AT1097" s="204">
        <f t="shared" si="664"/>
        <v>139.95801259622112</v>
      </c>
      <c r="AU1097" s="204">
        <f t="shared" si="667"/>
        <v>140.75</v>
      </c>
      <c r="AV1097" s="204">
        <f t="shared" si="665"/>
        <v>196.99090272918124</v>
      </c>
    </row>
    <row r="1098" spans="1:48" ht="12" customHeight="1">
      <c r="A1098" s="53"/>
      <c r="B1098" s="53"/>
      <c r="C1098" s="53"/>
      <c r="D1098" s="53"/>
      <c r="E1098" s="53"/>
      <c r="F1098" s="53"/>
      <c r="G1098" s="53"/>
      <c r="H1098" s="1">
        <v>62</v>
      </c>
      <c r="I1098" s="397">
        <v>820</v>
      </c>
      <c r="J1098" s="229">
        <v>3238</v>
      </c>
      <c r="K1098" s="18" t="s">
        <v>254</v>
      </c>
      <c r="L1098" s="130">
        <v>1899</v>
      </c>
      <c r="M1098" s="130">
        <f>1899/7.5345</f>
        <v>252.04061317937487</v>
      </c>
      <c r="N1098" s="131">
        <v>2574</v>
      </c>
      <c r="O1098" s="131">
        <f t="shared" si="681"/>
        <v>341.62850885924746</v>
      </c>
      <c r="P1098" s="132">
        <v>1000</v>
      </c>
      <c r="Q1098" s="132">
        <v>1000</v>
      </c>
      <c r="R1098" s="159">
        <v>465</v>
      </c>
      <c r="S1098" s="165"/>
      <c r="T1098" s="165"/>
      <c r="U1098" s="165"/>
      <c r="V1098" s="200">
        <v>1000</v>
      </c>
      <c r="W1098" s="200">
        <v>1000</v>
      </c>
      <c r="X1098" s="164">
        <v>1200</v>
      </c>
      <c r="Y1098" s="378">
        <v>1200</v>
      </c>
      <c r="Z1098" s="378"/>
      <c r="AA1098" s="370" t="e">
        <f t="shared" ca="1" si="661"/>
        <v>#NAME?</v>
      </c>
      <c r="AB1098" s="183"/>
      <c r="AC1098" s="178">
        <v>1200</v>
      </c>
      <c r="AD1098" s="178">
        <v>1200</v>
      </c>
      <c r="AE1098" s="178">
        <f t="shared" si="680"/>
        <v>135.54502369668248</v>
      </c>
      <c r="AF1098" s="178">
        <f t="shared" si="682"/>
        <v>292.71561771561773</v>
      </c>
      <c r="AG1098" s="178">
        <f t="shared" si="682"/>
        <v>100</v>
      </c>
      <c r="AH1098" s="178">
        <f>AC1098/Q1098*100</f>
        <v>120</v>
      </c>
      <c r="AI1098" s="183"/>
      <c r="AJ1098" s="378">
        <v>1200</v>
      </c>
      <c r="AK1098" s="171">
        <f t="shared" si="651"/>
        <v>215.05376344086019</v>
      </c>
      <c r="AL1098" s="171">
        <f t="shared" si="652"/>
        <v>120</v>
      </c>
      <c r="AM1098" s="171">
        <f t="shared" si="652"/>
        <v>100</v>
      </c>
      <c r="AN1098" s="165"/>
      <c r="AO1098" s="193"/>
      <c r="AP1098" s="193" t="e">
        <f t="shared" ca="1" si="658"/>
        <v>#NAME?</v>
      </c>
      <c r="AQ1098" s="200">
        <v>1634</v>
      </c>
      <c r="AR1098" s="204">
        <f t="shared" si="663"/>
        <v>215.05376344086019</v>
      </c>
      <c r="AS1098" s="204">
        <f t="shared" si="666"/>
        <v>100</v>
      </c>
      <c r="AT1098" s="204">
        <f t="shared" si="664"/>
        <v>215.05376344086019</v>
      </c>
      <c r="AU1098" s="204">
        <f t="shared" si="667"/>
        <v>163.39999999999998</v>
      </c>
      <c r="AV1098" s="204">
        <f t="shared" si="665"/>
        <v>351.39784946236563</v>
      </c>
    </row>
    <row r="1099" spans="1:48" ht="12" customHeight="1">
      <c r="A1099" s="53"/>
      <c r="B1099" s="53"/>
      <c r="C1099" s="53"/>
      <c r="D1099" s="53"/>
      <c r="E1099" s="53"/>
      <c r="F1099" s="53"/>
      <c r="G1099" s="53"/>
      <c r="H1099" s="1" t="s">
        <v>837</v>
      </c>
      <c r="I1099" s="345">
        <v>820</v>
      </c>
      <c r="J1099" s="229">
        <v>3239</v>
      </c>
      <c r="K1099" s="456" t="s">
        <v>838</v>
      </c>
      <c r="L1099" s="130">
        <v>22425</v>
      </c>
      <c r="M1099" s="130">
        <f>22425/7.5345</f>
        <v>2976.308978697989</v>
      </c>
      <c r="N1099" s="131">
        <v>15632</v>
      </c>
      <c r="O1099" s="131">
        <f t="shared" si="681"/>
        <v>2074.7229411374342</v>
      </c>
      <c r="P1099" s="132">
        <v>4700</v>
      </c>
      <c r="Q1099" s="132">
        <v>4700</v>
      </c>
      <c r="R1099" s="159">
        <v>1199</v>
      </c>
      <c r="S1099" s="165"/>
      <c r="T1099" s="165"/>
      <c r="U1099" s="165"/>
      <c r="V1099" s="200">
        <v>5000</v>
      </c>
      <c r="W1099" s="200">
        <v>5000</v>
      </c>
      <c r="X1099" s="164">
        <v>5000</v>
      </c>
      <c r="Y1099" s="378">
        <v>5500</v>
      </c>
      <c r="Z1099" s="378"/>
      <c r="AA1099" s="370" t="e">
        <f t="shared" ca="1" si="661"/>
        <v>#NAME?</v>
      </c>
      <c r="AB1099" s="183"/>
      <c r="AC1099" s="178">
        <v>4900</v>
      </c>
      <c r="AD1099" s="178">
        <v>4900</v>
      </c>
      <c r="AE1099" s="178">
        <f t="shared" si="680"/>
        <v>69.707915273132656</v>
      </c>
      <c r="AF1099" s="178">
        <f t="shared" si="682"/>
        <v>226.53627175025593</v>
      </c>
      <c r="AG1099" s="178">
        <f t="shared" si="682"/>
        <v>100</v>
      </c>
      <c r="AH1099" s="178">
        <f>AC1099/Q1099*100</f>
        <v>104.25531914893618</v>
      </c>
      <c r="AI1099" s="183"/>
      <c r="AJ1099" s="378">
        <v>5500</v>
      </c>
      <c r="AK1099" s="171">
        <f t="shared" si="651"/>
        <v>417.01417848206842</v>
      </c>
      <c r="AL1099" s="171">
        <f t="shared" si="652"/>
        <v>100</v>
      </c>
      <c r="AM1099" s="171">
        <f t="shared" si="652"/>
        <v>110.00000000000001</v>
      </c>
      <c r="AN1099" s="165"/>
      <c r="AO1099" s="193"/>
      <c r="AP1099" s="193" t="e">
        <f t="shared" ca="1" si="658"/>
        <v>#NAME?</v>
      </c>
      <c r="AQ1099" s="200">
        <v>2597</v>
      </c>
      <c r="AR1099" s="204">
        <f t="shared" si="663"/>
        <v>417.01417848206842</v>
      </c>
      <c r="AS1099" s="204">
        <f t="shared" si="666"/>
        <v>100</v>
      </c>
      <c r="AT1099" s="204">
        <f t="shared" si="664"/>
        <v>417.01417848206842</v>
      </c>
      <c r="AU1099" s="204">
        <f t="shared" si="667"/>
        <v>51.94</v>
      </c>
      <c r="AV1099" s="204">
        <f t="shared" si="665"/>
        <v>216.59716430358631</v>
      </c>
    </row>
    <row r="1100" spans="1:48" ht="12" customHeight="1">
      <c r="A1100" s="53"/>
      <c r="B1100" s="53"/>
      <c r="C1100" s="53"/>
      <c r="D1100" s="53"/>
      <c r="E1100" s="53"/>
      <c r="F1100" s="53"/>
      <c r="G1100" s="53"/>
      <c r="H1100" s="1"/>
      <c r="I1100" s="345"/>
      <c r="J1100" s="229"/>
      <c r="K1100" s="456"/>
      <c r="L1100" s="130"/>
      <c r="M1100" s="130"/>
      <c r="N1100" s="131"/>
      <c r="O1100" s="131"/>
      <c r="P1100" s="132"/>
      <c r="Q1100" s="132"/>
      <c r="R1100" s="159"/>
      <c r="S1100" s="165"/>
      <c r="T1100" s="165"/>
      <c r="U1100" s="165"/>
      <c r="V1100" s="200"/>
      <c r="W1100" s="200"/>
      <c r="X1100" s="164"/>
      <c r="Y1100" s="378"/>
      <c r="Z1100" s="378"/>
      <c r="AA1100" s="370" t="e">
        <f t="shared" ca="1" si="661"/>
        <v>#NAME?</v>
      </c>
      <c r="AB1100" s="183"/>
      <c r="AC1100" s="178"/>
      <c r="AD1100" s="178"/>
      <c r="AE1100" s="178"/>
      <c r="AF1100" s="178"/>
      <c r="AG1100" s="178"/>
      <c r="AH1100" s="178"/>
      <c r="AI1100" s="183"/>
      <c r="AJ1100" s="378"/>
      <c r="AK1100" s="171"/>
      <c r="AL1100" s="171"/>
      <c r="AM1100" s="171"/>
      <c r="AN1100" s="165"/>
      <c r="AO1100" s="193"/>
      <c r="AP1100" s="193" t="e">
        <f t="shared" ca="1" si="658"/>
        <v>#NAME?</v>
      </c>
      <c r="AQ1100" s="200"/>
      <c r="AR1100" s="204"/>
      <c r="AS1100" s="204"/>
      <c r="AT1100" s="204"/>
      <c r="AU1100" s="204"/>
      <c r="AV1100" s="204"/>
    </row>
    <row r="1101" spans="1:48" ht="12" customHeight="1">
      <c r="A1101" s="62"/>
      <c r="B1101" s="62"/>
      <c r="C1101" s="62"/>
      <c r="D1101" s="62"/>
      <c r="E1101" s="62"/>
      <c r="F1101" s="62"/>
      <c r="G1101" s="62"/>
      <c r="H1101" s="304"/>
      <c r="I1101" s="464"/>
      <c r="J1101" s="303">
        <v>329</v>
      </c>
      <c r="K1101" s="19" t="s">
        <v>839</v>
      </c>
      <c r="L1101" s="112">
        <f t="shared" ref="L1101:S1101" si="683">L1102+L1103</f>
        <v>4357</v>
      </c>
      <c r="M1101" s="112">
        <f t="shared" si="683"/>
        <v>578.27327626252566</v>
      </c>
      <c r="N1101" s="113">
        <f t="shared" si="683"/>
        <v>9514</v>
      </c>
      <c r="O1101" s="113">
        <f t="shared" si="683"/>
        <v>1262.7247992567522</v>
      </c>
      <c r="P1101" s="114">
        <f t="shared" si="683"/>
        <v>5000</v>
      </c>
      <c r="Q1101" s="114">
        <f t="shared" si="683"/>
        <v>5000</v>
      </c>
      <c r="R1101" s="88">
        <f t="shared" si="683"/>
        <v>2226</v>
      </c>
      <c r="S1101" s="90">
        <f t="shared" si="683"/>
        <v>0</v>
      </c>
      <c r="T1101" s="90"/>
      <c r="U1101" s="90"/>
      <c r="V1101" s="200">
        <f>V1102+V1103</f>
        <v>8000</v>
      </c>
      <c r="W1101" s="200">
        <f>W1102+W1103</f>
        <v>8000</v>
      </c>
      <c r="X1101" s="88">
        <f>X1102+X1103</f>
        <v>8000</v>
      </c>
      <c r="Y1101" s="171">
        <f>Y1102+Y1103</f>
        <v>10000</v>
      </c>
      <c r="Z1101" s="171">
        <f>Z1102+Z1103</f>
        <v>0</v>
      </c>
      <c r="AA1101" s="370" t="e">
        <f t="shared" ca="1" si="661"/>
        <v>#NAME?</v>
      </c>
      <c r="AB1101" s="171"/>
      <c r="AC1101" s="172">
        <f>AC1102+AC1103</f>
        <v>35000</v>
      </c>
      <c r="AD1101" s="172">
        <f>AD1102+AD1103</f>
        <v>35000</v>
      </c>
      <c r="AE1101" s="178">
        <f>O1101/M1101*100</f>
        <v>218.36125774615564</v>
      </c>
      <c r="AF1101" s="178">
        <f>P1101/O1101*100</f>
        <v>395.96909817111629</v>
      </c>
      <c r="AG1101" s="178">
        <f>Q1101/P1101*100</f>
        <v>100</v>
      </c>
      <c r="AH1101" s="178">
        <f>AC1101/Q1101*100</f>
        <v>700</v>
      </c>
      <c r="AI1101" s="171"/>
      <c r="AJ1101" s="171">
        <v>10000</v>
      </c>
      <c r="AK1101" s="171">
        <f t="shared" si="651"/>
        <v>359.38903863432165</v>
      </c>
      <c r="AL1101" s="171">
        <f t="shared" si="652"/>
        <v>100</v>
      </c>
      <c r="AM1101" s="171">
        <f t="shared" si="652"/>
        <v>125</v>
      </c>
      <c r="AN1101" s="90"/>
      <c r="AO1101" s="193"/>
      <c r="AP1101" s="193" t="e">
        <f t="shared" ca="1" si="658"/>
        <v>#NAME?</v>
      </c>
      <c r="AQ1101" s="200">
        <f>AQ1102+AQ1103</f>
        <v>5443</v>
      </c>
      <c r="AR1101" s="204">
        <f t="shared" si="663"/>
        <v>359.38903863432165</v>
      </c>
      <c r="AS1101" s="204">
        <f t="shared" si="666"/>
        <v>100</v>
      </c>
      <c r="AT1101" s="204">
        <f t="shared" si="664"/>
        <v>359.38903863432165</v>
      </c>
      <c r="AU1101" s="204">
        <f t="shared" si="667"/>
        <v>68.037499999999994</v>
      </c>
      <c r="AV1101" s="204">
        <f t="shared" si="665"/>
        <v>244.5193171608266</v>
      </c>
    </row>
    <row r="1102" spans="1:48" ht="12" customHeight="1">
      <c r="A1102" s="53"/>
      <c r="B1102" s="53"/>
      <c r="C1102" s="53"/>
      <c r="D1102" s="53"/>
      <c r="E1102" s="53"/>
      <c r="F1102" s="53"/>
      <c r="G1102" s="53"/>
      <c r="H1102" s="1">
        <v>64</v>
      </c>
      <c r="I1102" s="397">
        <v>820</v>
      </c>
      <c r="J1102" s="229">
        <v>3299</v>
      </c>
      <c r="K1102" s="18" t="s">
        <v>815</v>
      </c>
      <c r="L1102" s="130">
        <v>4357</v>
      </c>
      <c r="M1102" s="130">
        <f>4357/7.5345</f>
        <v>578.27327626252566</v>
      </c>
      <c r="N1102" s="131">
        <v>3514</v>
      </c>
      <c r="O1102" s="131">
        <f>N1102/7.5345</f>
        <v>466.3879487689959</v>
      </c>
      <c r="P1102" s="132">
        <v>2700</v>
      </c>
      <c r="Q1102" s="132">
        <v>2700</v>
      </c>
      <c r="R1102" s="159">
        <v>653</v>
      </c>
      <c r="S1102" s="165"/>
      <c r="T1102" s="165"/>
      <c r="U1102" s="165"/>
      <c r="V1102" s="200">
        <v>3000</v>
      </c>
      <c r="W1102" s="200">
        <v>3000</v>
      </c>
      <c r="X1102" s="164">
        <v>3000</v>
      </c>
      <c r="Y1102" s="378">
        <v>5000</v>
      </c>
      <c r="Z1102" s="378"/>
      <c r="AA1102" s="370" t="e">
        <f t="shared" ca="1" si="661"/>
        <v>#NAME?</v>
      </c>
      <c r="AB1102" s="183"/>
      <c r="AC1102" s="178">
        <v>20000</v>
      </c>
      <c r="AD1102" s="178">
        <v>20000</v>
      </c>
      <c r="AE1102" s="178">
        <f>O1102/M1102*100</f>
        <v>80.651824649988527</v>
      </c>
      <c r="AF1102" s="178">
        <f>P1102/O1102*100</f>
        <v>578.91718838930001</v>
      </c>
      <c r="AG1102" s="178">
        <f>Q1102/P1102*100</f>
        <v>100</v>
      </c>
      <c r="AH1102" s="178">
        <f>AC1102/Q1102*100</f>
        <v>740.74074074074076</v>
      </c>
      <c r="AI1102" s="183"/>
      <c r="AJ1102" s="378">
        <v>5000</v>
      </c>
      <c r="AK1102" s="171">
        <f t="shared" si="651"/>
        <v>459.4180704441041</v>
      </c>
      <c r="AL1102" s="171">
        <f t="shared" si="652"/>
        <v>100</v>
      </c>
      <c r="AM1102" s="171">
        <f t="shared" si="652"/>
        <v>166.66666666666669</v>
      </c>
      <c r="AN1102" s="165"/>
      <c r="AO1102" s="193"/>
      <c r="AP1102" s="193" t="e">
        <f t="shared" ca="1" si="658"/>
        <v>#NAME?</v>
      </c>
      <c r="AQ1102" s="200">
        <v>2535</v>
      </c>
      <c r="AR1102" s="204">
        <f t="shared" si="663"/>
        <v>459.4180704441041</v>
      </c>
      <c r="AS1102" s="204">
        <f t="shared" si="666"/>
        <v>100</v>
      </c>
      <c r="AT1102" s="204">
        <f t="shared" si="664"/>
        <v>459.4180704441041</v>
      </c>
      <c r="AU1102" s="204">
        <f t="shared" si="667"/>
        <v>84.5</v>
      </c>
      <c r="AV1102" s="204">
        <f t="shared" si="665"/>
        <v>388.20826952526801</v>
      </c>
    </row>
    <row r="1103" spans="1:48" ht="12" customHeight="1">
      <c r="A1103" s="209"/>
      <c r="B1103" s="209"/>
      <c r="C1103" s="209"/>
      <c r="D1103" s="209"/>
      <c r="E1103" s="209"/>
      <c r="F1103" s="209"/>
      <c r="G1103" s="209"/>
      <c r="H1103" s="1" t="s">
        <v>840</v>
      </c>
      <c r="I1103" s="397">
        <v>821</v>
      </c>
      <c r="J1103" s="229">
        <v>3299</v>
      </c>
      <c r="K1103" s="229" t="s">
        <v>841</v>
      </c>
      <c r="L1103" s="130">
        <v>0</v>
      </c>
      <c r="M1103" s="130">
        <v>0</v>
      </c>
      <c r="N1103" s="131">
        <v>6000</v>
      </c>
      <c r="O1103" s="131">
        <f>N1103/7.5345</f>
        <v>796.33685048775624</v>
      </c>
      <c r="P1103" s="132">
        <v>2300</v>
      </c>
      <c r="Q1103" s="132">
        <v>2300</v>
      </c>
      <c r="R1103" s="159">
        <v>1573</v>
      </c>
      <c r="S1103" s="165"/>
      <c r="T1103" s="165"/>
      <c r="U1103" s="165"/>
      <c r="V1103" s="200">
        <v>5000</v>
      </c>
      <c r="W1103" s="200">
        <v>5000</v>
      </c>
      <c r="X1103" s="164">
        <v>5000</v>
      </c>
      <c r="Y1103" s="378">
        <v>5000</v>
      </c>
      <c r="Z1103" s="378"/>
      <c r="AA1103" s="370" t="e">
        <f t="shared" ca="1" si="661"/>
        <v>#NAME?</v>
      </c>
      <c r="AB1103" s="183"/>
      <c r="AC1103" s="185">
        <v>15000</v>
      </c>
      <c r="AD1103" s="185">
        <v>15000</v>
      </c>
      <c r="AE1103" s="178"/>
      <c r="AF1103" s="178"/>
      <c r="AG1103" s="178"/>
      <c r="AH1103" s="178"/>
      <c r="AI1103" s="183"/>
      <c r="AJ1103" s="378">
        <v>5000</v>
      </c>
      <c r="AK1103" s="171">
        <f t="shared" si="651"/>
        <v>317.86395422759057</v>
      </c>
      <c r="AL1103" s="171">
        <f t="shared" si="652"/>
        <v>100</v>
      </c>
      <c r="AM1103" s="171">
        <f t="shared" si="652"/>
        <v>100</v>
      </c>
      <c r="AN1103" s="165"/>
      <c r="AO1103" s="193"/>
      <c r="AP1103" s="193" t="e">
        <f t="shared" ca="1" si="658"/>
        <v>#NAME?</v>
      </c>
      <c r="AQ1103" s="200">
        <v>2908</v>
      </c>
      <c r="AR1103" s="204">
        <f t="shared" si="663"/>
        <v>317.86395422759057</v>
      </c>
      <c r="AS1103" s="204">
        <f t="shared" si="666"/>
        <v>100</v>
      </c>
      <c r="AT1103" s="204">
        <f t="shared" si="664"/>
        <v>317.86395422759057</v>
      </c>
      <c r="AU1103" s="204">
        <f t="shared" si="667"/>
        <v>58.160000000000004</v>
      </c>
      <c r="AV1103" s="204">
        <f t="shared" si="665"/>
        <v>184.86967577876669</v>
      </c>
    </row>
    <row r="1104" spans="1:48" ht="12" customHeight="1">
      <c r="A1104" s="42"/>
      <c r="B1104" s="42"/>
      <c r="C1104" s="42"/>
      <c r="D1104" s="42"/>
      <c r="E1104" s="42"/>
      <c r="F1104" s="42"/>
      <c r="G1104" s="42"/>
      <c r="H1104" s="308"/>
      <c r="I1104" s="14"/>
      <c r="J1104" s="2"/>
      <c r="K1104" s="84"/>
      <c r="L1104" s="85">
        <v>1</v>
      </c>
      <c r="M1104" s="85">
        <v>2</v>
      </c>
      <c r="N1104" s="86">
        <v>3</v>
      </c>
      <c r="O1104" s="86">
        <v>4</v>
      </c>
      <c r="P1104" s="87">
        <v>5</v>
      </c>
      <c r="Q1104" s="87">
        <v>6</v>
      </c>
      <c r="R1104" s="160"/>
      <c r="S1104" s="161"/>
      <c r="T1104" s="161"/>
      <c r="U1104" s="161"/>
      <c r="V1104" s="200"/>
      <c r="W1104" s="200"/>
      <c r="X1104" s="361"/>
      <c r="Y1104" s="373"/>
      <c r="Z1104" s="373"/>
      <c r="AA1104" s="370" t="e">
        <f t="shared" ca="1" si="661"/>
        <v>#NAME?</v>
      </c>
      <c r="AB1104" s="181"/>
      <c r="AC1104" s="182">
        <v>7</v>
      </c>
      <c r="AD1104" s="182">
        <v>8</v>
      </c>
      <c r="AE1104" s="182">
        <v>9</v>
      </c>
      <c r="AF1104" s="182">
        <v>10</v>
      </c>
      <c r="AG1104" s="182">
        <v>11</v>
      </c>
      <c r="AH1104" s="182">
        <v>12</v>
      </c>
      <c r="AI1104" s="181"/>
      <c r="AJ1104" s="373"/>
      <c r="AK1104" s="171"/>
      <c r="AL1104" s="171"/>
      <c r="AM1104" s="171"/>
      <c r="AN1104" s="161"/>
      <c r="AO1104" s="193"/>
      <c r="AP1104" s="193" t="e">
        <f t="shared" ca="1" si="658"/>
        <v>#NAME?</v>
      </c>
      <c r="AQ1104" s="200"/>
      <c r="AR1104" s="204"/>
      <c r="AS1104" s="204"/>
      <c r="AT1104" s="204"/>
      <c r="AU1104" s="204"/>
      <c r="AV1104" s="204"/>
    </row>
    <row r="1105" spans="1:48" ht="12" customHeight="1">
      <c r="A1105" s="566"/>
      <c r="B1105" s="566"/>
      <c r="C1105" s="566"/>
      <c r="D1105" s="566"/>
      <c r="E1105" s="566"/>
      <c r="F1105" s="566"/>
      <c r="G1105" s="566"/>
      <c r="H1105" s="567"/>
      <c r="I1105" s="570"/>
      <c r="J1105" s="571">
        <v>34</v>
      </c>
      <c r="K1105" s="572" t="s">
        <v>264</v>
      </c>
      <c r="L1105" s="335">
        <f t="shared" ref="L1105:AD1106" si="684">L1106</f>
        <v>3190</v>
      </c>
      <c r="M1105" s="335">
        <f t="shared" si="684"/>
        <v>423.38575884265708</v>
      </c>
      <c r="N1105" s="336">
        <f t="shared" si="684"/>
        <v>3326</v>
      </c>
      <c r="O1105" s="336">
        <f t="shared" si="684"/>
        <v>441.43606078704624</v>
      </c>
      <c r="P1105" s="337">
        <f t="shared" si="684"/>
        <v>500</v>
      </c>
      <c r="Q1105" s="337">
        <f t="shared" si="684"/>
        <v>600</v>
      </c>
      <c r="R1105" s="359">
        <f t="shared" si="684"/>
        <v>477</v>
      </c>
      <c r="S1105" s="360">
        <f t="shared" si="684"/>
        <v>0</v>
      </c>
      <c r="T1105" s="360"/>
      <c r="U1105" s="360"/>
      <c r="V1105" s="200">
        <f>V1106</f>
        <v>700</v>
      </c>
      <c r="W1105" s="200">
        <f t="shared" si="684"/>
        <v>700</v>
      </c>
      <c r="X1105" s="359">
        <f t="shared" si="684"/>
        <v>800</v>
      </c>
      <c r="Y1105" s="371">
        <f t="shared" si="684"/>
        <v>800</v>
      </c>
      <c r="Z1105" s="371">
        <f t="shared" si="684"/>
        <v>0</v>
      </c>
      <c r="AA1105" s="370" t="e">
        <f t="shared" ca="1" si="661"/>
        <v>#NAME?</v>
      </c>
      <c r="AB1105" s="371"/>
      <c r="AC1105" s="372">
        <f t="shared" si="684"/>
        <v>500</v>
      </c>
      <c r="AD1105" s="372">
        <f t="shared" si="684"/>
        <v>500</v>
      </c>
      <c r="AE1105" s="178">
        <f>O1105/M1105*100</f>
        <v>104.26332288401254</v>
      </c>
      <c r="AF1105" s="178">
        <f t="shared" ref="AF1105:AG1107" si="685">P1105/O1105*100</f>
        <v>113.26668671076368</v>
      </c>
      <c r="AG1105" s="178">
        <f t="shared" si="685"/>
        <v>120</v>
      </c>
      <c r="AH1105" s="178">
        <f>AC1105/Q1105*100</f>
        <v>83.333333333333343</v>
      </c>
      <c r="AI1105" s="371"/>
      <c r="AJ1105" s="371">
        <v>800</v>
      </c>
      <c r="AK1105" s="171">
        <f t="shared" si="651"/>
        <v>146.75052410901469</v>
      </c>
      <c r="AL1105" s="171">
        <f t="shared" si="652"/>
        <v>114.28571428571428</v>
      </c>
      <c r="AM1105" s="171">
        <f t="shared" si="652"/>
        <v>100</v>
      </c>
      <c r="AN1105" s="360"/>
      <c r="AO1105" s="193"/>
      <c r="AP1105" s="193" t="e">
        <f t="shared" ca="1" si="658"/>
        <v>#NAME?</v>
      </c>
      <c r="AQ1105" s="200">
        <f>AQ1106</f>
        <v>503</v>
      </c>
      <c r="AR1105" s="204">
        <f t="shared" si="663"/>
        <v>146.75052410901469</v>
      </c>
      <c r="AS1105" s="204">
        <f t="shared" si="666"/>
        <v>100</v>
      </c>
      <c r="AT1105" s="204">
        <f t="shared" si="664"/>
        <v>146.75052410901469</v>
      </c>
      <c r="AU1105" s="204">
        <f t="shared" si="667"/>
        <v>71.857142857142847</v>
      </c>
      <c r="AV1105" s="204">
        <f t="shared" si="665"/>
        <v>105.45073375262055</v>
      </c>
    </row>
    <row r="1106" spans="1:48" ht="12" customHeight="1">
      <c r="A1106" s="62"/>
      <c r="B1106" s="62"/>
      <c r="C1106" s="62"/>
      <c r="D1106" s="62"/>
      <c r="E1106" s="62"/>
      <c r="F1106" s="62"/>
      <c r="G1106" s="62"/>
      <c r="H1106" s="304"/>
      <c r="I1106" s="464"/>
      <c r="J1106" s="303">
        <v>343</v>
      </c>
      <c r="K1106" s="19" t="s">
        <v>435</v>
      </c>
      <c r="L1106" s="112">
        <f t="shared" si="684"/>
        <v>3190</v>
      </c>
      <c r="M1106" s="112">
        <f t="shared" si="684"/>
        <v>423.38575884265708</v>
      </c>
      <c r="N1106" s="113">
        <f t="shared" si="684"/>
        <v>3326</v>
      </c>
      <c r="O1106" s="113">
        <f t="shared" si="684"/>
        <v>441.43606078704624</v>
      </c>
      <c r="P1106" s="114">
        <f t="shared" si="684"/>
        <v>500</v>
      </c>
      <c r="Q1106" s="114">
        <f t="shared" si="684"/>
        <v>600</v>
      </c>
      <c r="R1106" s="88">
        <f t="shared" si="684"/>
        <v>477</v>
      </c>
      <c r="S1106" s="90">
        <f t="shared" si="684"/>
        <v>0</v>
      </c>
      <c r="T1106" s="90"/>
      <c r="U1106" s="90"/>
      <c r="V1106" s="200">
        <f>V1107</f>
        <v>700</v>
      </c>
      <c r="W1106" s="200">
        <f t="shared" si="684"/>
        <v>700</v>
      </c>
      <c r="X1106" s="88">
        <f t="shared" si="684"/>
        <v>800</v>
      </c>
      <c r="Y1106" s="171">
        <f t="shared" si="684"/>
        <v>800</v>
      </c>
      <c r="Z1106" s="171">
        <f t="shared" si="684"/>
        <v>0</v>
      </c>
      <c r="AA1106" s="370" t="e">
        <f t="shared" ca="1" si="661"/>
        <v>#NAME?</v>
      </c>
      <c r="AB1106" s="171"/>
      <c r="AC1106" s="172">
        <f t="shared" si="684"/>
        <v>500</v>
      </c>
      <c r="AD1106" s="172">
        <f t="shared" si="684"/>
        <v>500</v>
      </c>
      <c r="AE1106" s="178">
        <f>O1106/M1106*100</f>
        <v>104.26332288401254</v>
      </c>
      <c r="AF1106" s="178">
        <f t="shared" si="685"/>
        <v>113.26668671076368</v>
      </c>
      <c r="AG1106" s="178">
        <f t="shared" si="685"/>
        <v>120</v>
      </c>
      <c r="AH1106" s="178">
        <f>AC1106/Q1106*100</f>
        <v>83.333333333333343</v>
      </c>
      <c r="AI1106" s="171"/>
      <c r="AJ1106" s="171">
        <v>800</v>
      </c>
      <c r="AK1106" s="171">
        <f t="shared" si="651"/>
        <v>146.75052410901469</v>
      </c>
      <c r="AL1106" s="171">
        <f t="shared" si="652"/>
        <v>114.28571428571428</v>
      </c>
      <c r="AM1106" s="171">
        <f t="shared" si="652"/>
        <v>100</v>
      </c>
      <c r="AN1106" s="90"/>
      <c r="AO1106" s="193"/>
      <c r="AP1106" s="193" t="e">
        <f t="shared" ca="1" si="658"/>
        <v>#NAME?</v>
      </c>
      <c r="AQ1106" s="200">
        <f>AQ1107</f>
        <v>503</v>
      </c>
      <c r="AR1106" s="204">
        <f t="shared" si="663"/>
        <v>146.75052410901469</v>
      </c>
      <c r="AS1106" s="204">
        <f t="shared" si="666"/>
        <v>100</v>
      </c>
      <c r="AT1106" s="204">
        <f t="shared" si="664"/>
        <v>146.75052410901469</v>
      </c>
      <c r="AU1106" s="204">
        <f t="shared" si="667"/>
        <v>71.857142857142847</v>
      </c>
      <c r="AV1106" s="204">
        <f t="shared" si="665"/>
        <v>105.45073375262055</v>
      </c>
    </row>
    <row r="1107" spans="1:48" ht="12" customHeight="1">
      <c r="A1107" s="53"/>
      <c r="B1107" s="53"/>
      <c r="C1107" s="53"/>
      <c r="D1107" s="53"/>
      <c r="E1107" s="53"/>
      <c r="F1107" s="53"/>
      <c r="G1107" s="53"/>
      <c r="H1107" s="1">
        <v>65</v>
      </c>
      <c r="I1107" s="397">
        <v>820</v>
      </c>
      <c r="J1107" s="229">
        <v>3431</v>
      </c>
      <c r="K1107" s="18" t="s">
        <v>842</v>
      </c>
      <c r="L1107" s="130">
        <v>3190</v>
      </c>
      <c r="M1107" s="130">
        <f>3190/7.5345</f>
        <v>423.38575884265708</v>
      </c>
      <c r="N1107" s="131">
        <v>3326</v>
      </c>
      <c r="O1107" s="131">
        <f>N1107/7.5345</f>
        <v>441.43606078704624</v>
      </c>
      <c r="P1107" s="132">
        <v>500</v>
      </c>
      <c r="Q1107" s="163">
        <v>600</v>
      </c>
      <c r="R1107" s="159">
        <v>477</v>
      </c>
      <c r="S1107" s="165"/>
      <c r="T1107" s="165"/>
      <c r="U1107" s="165"/>
      <c r="V1107" s="200">
        <v>700</v>
      </c>
      <c r="W1107" s="200">
        <v>700</v>
      </c>
      <c r="X1107" s="164">
        <v>800</v>
      </c>
      <c r="Y1107" s="378">
        <v>800</v>
      </c>
      <c r="Z1107" s="378"/>
      <c r="AA1107" s="370" t="e">
        <f t="shared" ca="1" si="661"/>
        <v>#NAME?</v>
      </c>
      <c r="AB1107" s="183"/>
      <c r="AC1107" s="178">
        <v>500</v>
      </c>
      <c r="AD1107" s="178">
        <v>500</v>
      </c>
      <c r="AE1107" s="178">
        <f>O1107/M1107*100</f>
        <v>104.26332288401254</v>
      </c>
      <c r="AF1107" s="178">
        <f t="shared" si="685"/>
        <v>113.26668671076368</v>
      </c>
      <c r="AG1107" s="178">
        <f t="shared" si="685"/>
        <v>120</v>
      </c>
      <c r="AH1107" s="178">
        <f>AC1107/Q1107*100</f>
        <v>83.333333333333343</v>
      </c>
      <c r="AI1107" s="183"/>
      <c r="AJ1107" s="378">
        <v>800</v>
      </c>
      <c r="AK1107" s="171">
        <f t="shared" si="651"/>
        <v>146.75052410901469</v>
      </c>
      <c r="AL1107" s="171">
        <f t="shared" si="652"/>
        <v>114.28571428571428</v>
      </c>
      <c r="AM1107" s="171">
        <f t="shared" si="652"/>
        <v>100</v>
      </c>
      <c r="AN1107" s="165"/>
      <c r="AO1107" s="193"/>
      <c r="AP1107" s="193" t="e">
        <f t="shared" ca="1" si="658"/>
        <v>#NAME?</v>
      </c>
      <c r="AQ1107" s="200">
        <v>503</v>
      </c>
      <c r="AR1107" s="204">
        <f t="shared" si="663"/>
        <v>146.75052410901469</v>
      </c>
      <c r="AS1107" s="204">
        <f t="shared" si="666"/>
        <v>100</v>
      </c>
      <c r="AT1107" s="204">
        <f t="shared" si="664"/>
        <v>146.75052410901469</v>
      </c>
      <c r="AU1107" s="204">
        <f t="shared" si="667"/>
        <v>71.857142857142847</v>
      </c>
      <c r="AV1107" s="204">
        <f t="shared" si="665"/>
        <v>105.45073375262055</v>
      </c>
    </row>
    <row r="1108" spans="1:48" ht="12" customHeight="1">
      <c r="A1108" s="69"/>
      <c r="B1108" s="69"/>
      <c r="C1108" s="69"/>
      <c r="D1108" s="69"/>
      <c r="E1108" s="69"/>
      <c r="F1108" s="69"/>
      <c r="G1108" s="69"/>
      <c r="H1108" s="436"/>
      <c r="I1108" s="3"/>
      <c r="J1108" s="7"/>
      <c r="K1108" s="7"/>
      <c r="L1108" s="85"/>
      <c r="M1108" s="85"/>
      <c r="N1108" s="86"/>
      <c r="O1108" s="86"/>
      <c r="P1108" s="87"/>
      <c r="Q1108" s="87"/>
      <c r="R1108" s="160"/>
      <c r="S1108" s="161"/>
      <c r="T1108" s="161"/>
      <c r="U1108" s="161"/>
      <c r="V1108" s="200"/>
      <c r="W1108" s="200"/>
      <c r="X1108" s="361"/>
      <c r="Y1108" s="373"/>
      <c r="Z1108" s="373"/>
      <c r="AA1108" s="370" t="e">
        <f t="shared" ca="1" si="661"/>
        <v>#NAME?</v>
      </c>
      <c r="AB1108" s="181"/>
      <c r="AC1108" s="182"/>
      <c r="AD1108" s="182"/>
      <c r="AE1108" s="178"/>
      <c r="AF1108" s="178"/>
      <c r="AG1108" s="178"/>
      <c r="AH1108" s="178"/>
      <c r="AI1108" s="181"/>
      <c r="AJ1108" s="373"/>
      <c r="AK1108" s="171"/>
      <c r="AL1108" s="171"/>
      <c r="AM1108" s="171"/>
      <c r="AN1108" s="161"/>
      <c r="AO1108" s="193"/>
      <c r="AP1108" s="193" t="e">
        <f t="shared" ca="1" si="658"/>
        <v>#NAME?</v>
      </c>
      <c r="AQ1108" s="200"/>
      <c r="AR1108" s="204"/>
      <c r="AS1108" s="204"/>
      <c r="AT1108" s="204"/>
      <c r="AU1108" s="204"/>
      <c r="AV1108" s="204"/>
    </row>
    <row r="1109" spans="1:48" ht="12" customHeight="1">
      <c r="A1109" s="390" t="s">
        <v>532</v>
      </c>
      <c r="B1109" s="391"/>
      <c r="C1109" s="391"/>
      <c r="D1109" s="391"/>
      <c r="E1109" s="391"/>
      <c r="F1109" s="391"/>
      <c r="G1109" s="391"/>
      <c r="H1109" s="392"/>
      <c r="I1109" s="485" t="s">
        <v>843</v>
      </c>
      <c r="J1109" s="486"/>
      <c r="K1109" s="300"/>
      <c r="L1109" s="112">
        <f t="shared" ref="L1109:S1109" si="686">L1111</f>
        <v>74189</v>
      </c>
      <c r="M1109" s="112">
        <f t="shared" si="686"/>
        <v>9846.572433472691</v>
      </c>
      <c r="N1109" s="113">
        <f t="shared" si="686"/>
        <v>92414</v>
      </c>
      <c r="O1109" s="113">
        <f t="shared" si="686"/>
        <v>12265.445616829251</v>
      </c>
      <c r="P1109" s="114">
        <f t="shared" si="686"/>
        <v>13500</v>
      </c>
      <c r="Q1109" s="114">
        <f t="shared" si="686"/>
        <v>13500</v>
      </c>
      <c r="R1109" s="88">
        <f t="shared" si="686"/>
        <v>10215</v>
      </c>
      <c r="S1109" s="90">
        <f t="shared" si="686"/>
        <v>0</v>
      </c>
      <c r="T1109" s="90"/>
      <c r="U1109" s="90"/>
      <c r="V1109" s="200">
        <f>V1111</f>
        <v>24500</v>
      </c>
      <c r="W1109" s="200">
        <f>W1111</f>
        <v>24500</v>
      </c>
      <c r="X1109" s="88">
        <f>X1111</f>
        <v>15000</v>
      </c>
      <c r="Y1109" s="171">
        <f>Y1111</f>
        <v>16000</v>
      </c>
      <c r="Z1109" s="171">
        <f>Z1111</f>
        <v>0</v>
      </c>
      <c r="AA1109" s="370" t="e">
        <f t="shared" ca="1" si="661"/>
        <v>#NAME?</v>
      </c>
      <c r="AB1109" s="171"/>
      <c r="AC1109" s="172">
        <f>AC1111</f>
        <v>14000</v>
      </c>
      <c r="AD1109" s="172">
        <f>AD1111</f>
        <v>14000</v>
      </c>
      <c r="AE1109" s="178">
        <f>O1109/M1109*100</f>
        <v>124.56563641510196</v>
      </c>
      <c r="AF1109" s="178">
        <f>P1109/O1109*100</f>
        <v>110.06530395827474</v>
      </c>
      <c r="AG1109" s="178">
        <f>Q1109/P1109*100</f>
        <v>100</v>
      </c>
      <c r="AH1109" s="178">
        <f>AC1109/Q1109*100</f>
        <v>103.7037037037037</v>
      </c>
      <c r="AI1109" s="171"/>
      <c r="AJ1109" s="171">
        <v>16000</v>
      </c>
      <c r="AK1109" s="171">
        <f t="shared" ref="AK1109:AK1173" si="687">W1109/R1109*100</f>
        <v>239.84336759667158</v>
      </c>
      <c r="AL1109" s="171">
        <f t="shared" ref="AL1109:AM1173" si="688">X1109/W1109*100</f>
        <v>61.224489795918366</v>
      </c>
      <c r="AM1109" s="171">
        <f t="shared" si="688"/>
        <v>106.66666666666667</v>
      </c>
      <c r="AN1109" s="90"/>
      <c r="AO1109" s="193"/>
      <c r="AP1109" s="193" t="e">
        <f t="shared" ca="1" si="658"/>
        <v>#NAME?</v>
      </c>
      <c r="AQ1109" s="200">
        <f>AQ1111</f>
        <v>27185.42</v>
      </c>
      <c r="AR1109" s="204">
        <f t="shared" si="663"/>
        <v>239.84336759667158</v>
      </c>
      <c r="AS1109" s="204">
        <f t="shared" si="666"/>
        <v>100</v>
      </c>
      <c r="AT1109" s="204">
        <f t="shared" si="664"/>
        <v>239.84336759667158</v>
      </c>
      <c r="AU1109" s="204">
        <f t="shared" si="667"/>
        <v>110.96089795918367</v>
      </c>
      <c r="AV1109" s="204">
        <f t="shared" si="665"/>
        <v>266.1323543808125</v>
      </c>
    </row>
    <row r="1110" spans="1:48" ht="12" customHeight="1">
      <c r="A1110" s="69"/>
      <c r="B1110" s="69"/>
      <c r="C1110" s="69"/>
      <c r="D1110" s="69"/>
      <c r="E1110" s="69"/>
      <c r="F1110" s="69"/>
      <c r="G1110" s="69"/>
      <c r="H1110" s="436"/>
      <c r="I1110" s="341"/>
      <c r="J1110" s="281"/>
      <c r="K1110" s="70"/>
      <c r="L1110" s="217"/>
      <c r="M1110" s="217"/>
      <c r="N1110" s="218"/>
      <c r="O1110" s="218"/>
      <c r="P1110" s="219"/>
      <c r="Q1110" s="219"/>
      <c r="R1110" s="282"/>
      <c r="S1110" s="222"/>
      <c r="T1110" s="222"/>
      <c r="U1110" s="222"/>
      <c r="V1110" s="200"/>
      <c r="W1110" s="200"/>
      <c r="X1110" s="167"/>
      <c r="Y1110" s="424"/>
      <c r="Z1110" s="424"/>
      <c r="AA1110" s="370" t="e">
        <f t="shared" ca="1" si="661"/>
        <v>#NAME?</v>
      </c>
      <c r="AB1110" s="223"/>
      <c r="AC1110" s="224"/>
      <c r="AD1110" s="224"/>
      <c r="AE1110" s="178"/>
      <c r="AF1110" s="178"/>
      <c r="AG1110" s="178"/>
      <c r="AH1110" s="178"/>
      <c r="AI1110" s="223"/>
      <c r="AJ1110" s="424"/>
      <c r="AK1110" s="171"/>
      <c r="AL1110" s="171"/>
      <c r="AM1110" s="171"/>
      <c r="AN1110" s="222"/>
      <c r="AO1110" s="193"/>
      <c r="AP1110" s="193" t="e">
        <f t="shared" ca="1" si="658"/>
        <v>#NAME?</v>
      </c>
      <c r="AQ1110" s="200"/>
      <c r="AR1110" s="204"/>
      <c r="AS1110" s="204"/>
      <c r="AT1110" s="204"/>
      <c r="AU1110" s="204"/>
      <c r="AV1110" s="204"/>
    </row>
    <row r="1111" spans="1:48" ht="12" customHeight="1">
      <c r="A1111" s="24"/>
      <c r="B1111" s="24"/>
      <c r="C1111" s="24"/>
      <c r="D1111" s="24"/>
      <c r="E1111" s="24"/>
      <c r="F1111" s="24"/>
      <c r="G1111" s="24"/>
      <c r="H1111" s="393"/>
      <c r="I1111" s="465"/>
      <c r="J1111" s="281">
        <v>4</v>
      </c>
      <c r="K1111" s="2" t="s">
        <v>417</v>
      </c>
      <c r="L1111" s="112">
        <f t="shared" ref="L1111:S1111" si="689">L1112+L1122</f>
        <v>74189</v>
      </c>
      <c r="M1111" s="112">
        <f t="shared" si="689"/>
        <v>9846.572433472691</v>
      </c>
      <c r="N1111" s="113">
        <f t="shared" si="689"/>
        <v>92414</v>
      </c>
      <c r="O1111" s="113">
        <f t="shared" si="689"/>
        <v>12265.445616829251</v>
      </c>
      <c r="P1111" s="114">
        <f t="shared" si="689"/>
        <v>13500</v>
      </c>
      <c r="Q1111" s="114">
        <f t="shared" si="689"/>
        <v>13500</v>
      </c>
      <c r="R1111" s="88">
        <f t="shared" si="689"/>
        <v>10215</v>
      </c>
      <c r="S1111" s="90">
        <f t="shared" si="689"/>
        <v>0</v>
      </c>
      <c r="T1111" s="90"/>
      <c r="U1111" s="90"/>
      <c r="V1111" s="200">
        <f>V1112+V1122</f>
        <v>24500</v>
      </c>
      <c r="W1111" s="200">
        <f>W1112+W1122</f>
        <v>24500</v>
      </c>
      <c r="X1111" s="88">
        <f>X1112+X1122</f>
        <v>15000</v>
      </c>
      <c r="Y1111" s="171">
        <f>Y1112+Y1122</f>
        <v>16000</v>
      </c>
      <c r="Z1111" s="171">
        <f>Z1112+Z1122</f>
        <v>0</v>
      </c>
      <c r="AA1111" s="370" t="e">
        <f t="shared" ca="1" si="661"/>
        <v>#NAME?</v>
      </c>
      <c r="AB1111" s="171"/>
      <c r="AC1111" s="172">
        <f>AC1112+AC1122</f>
        <v>14000</v>
      </c>
      <c r="AD1111" s="172">
        <f>AD1112+AD1122</f>
        <v>14000</v>
      </c>
      <c r="AE1111" s="178">
        <f>O1111/M1111*100</f>
        <v>124.56563641510196</v>
      </c>
      <c r="AF1111" s="178">
        <f>P1111/O1111*100</f>
        <v>110.06530395827474</v>
      </c>
      <c r="AG1111" s="178">
        <f>Q1111/P1111*100</f>
        <v>100</v>
      </c>
      <c r="AH1111" s="178">
        <f>AC1111/Q1111*100</f>
        <v>103.7037037037037</v>
      </c>
      <c r="AI1111" s="171"/>
      <c r="AJ1111" s="171">
        <v>16000</v>
      </c>
      <c r="AK1111" s="171">
        <f t="shared" si="687"/>
        <v>239.84336759667158</v>
      </c>
      <c r="AL1111" s="171">
        <f t="shared" si="688"/>
        <v>61.224489795918366</v>
      </c>
      <c r="AM1111" s="171">
        <f t="shared" si="688"/>
        <v>106.66666666666667</v>
      </c>
      <c r="AN1111" s="90"/>
      <c r="AO1111" s="193"/>
      <c r="AP1111" s="193" t="e">
        <f t="shared" ca="1" si="658"/>
        <v>#NAME?</v>
      </c>
      <c r="AQ1111" s="200">
        <f>AQ1112+AQ1122</f>
        <v>27185.42</v>
      </c>
      <c r="AR1111" s="204">
        <f t="shared" si="663"/>
        <v>239.84336759667158</v>
      </c>
      <c r="AS1111" s="204">
        <f t="shared" si="666"/>
        <v>100</v>
      </c>
      <c r="AT1111" s="204">
        <f t="shared" si="664"/>
        <v>239.84336759667158</v>
      </c>
      <c r="AU1111" s="204">
        <f t="shared" si="667"/>
        <v>110.96089795918367</v>
      </c>
      <c r="AV1111" s="204">
        <f t="shared" si="665"/>
        <v>266.1323543808125</v>
      </c>
    </row>
    <row r="1112" spans="1:48" ht="12" customHeight="1">
      <c r="A1112" s="301"/>
      <c r="B1112" s="301"/>
      <c r="C1112" s="301"/>
      <c r="D1112" s="301"/>
      <c r="E1112" s="301"/>
      <c r="F1112" s="301"/>
      <c r="G1112" s="301"/>
      <c r="H1112" s="307"/>
      <c r="I1112" s="350"/>
      <c r="J1112" s="302">
        <v>42</v>
      </c>
      <c r="K1112" s="343" t="s">
        <v>844</v>
      </c>
      <c r="L1112" s="112">
        <f t="shared" ref="L1112:S1112" si="690">L1114+L1119</f>
        <v>74189</v>
      </c>
      <c r="M1112" s="112">
        <f t="shared" si="690"/>
        <v>9846.572433472691</v>
      </c>
      <c r="N1112" s="113">
        <f t="shared" si="690"/>
        <v>92414</v>
      </c>
      <c r="O1112" s="113">
        <f t="shared" si="690"/>
        <v>12265.445616829251</v>
      </c>
      <c r="P1112" s="114">
        <f t="shared" si="690"/>
        <v>13500</v>
      </c>
      <c r="Q1112" s="114">
        <f t="shared" si="690"/>
        <v>13500</v>
      </c>
      <c r="R1112" s="88">
        <f t="shared" si="690"/>
        <v>10215</v>
      </c>
      <c r="S1112" s="90">
        <f t="shared" si="690"/>
        <v>0</v>
      </c>
      <c r="T1112" s="90"/>
      <c r="U1112" s="90"/>
      <c r="V1112" s="200">
        <f>V1114+V1119</f>
        <v>24500</v>
      </c>
      <c r="W1112" s="200">
        <f>W1114+W1119</f>
        <v>24500</v>
      </c>
      <c r="X1112" s="88">
        <f>X1114+X1119</f>
        <v>15000</v>
      </c>
      <c r="Y1112" s="171">
        <f>Y1114+Y1119</f>
        <v>16000</v>
      </c>
      <c r="Z1112" s="171">
        <f>Z1114+Z1119</f>
        <v>0</v>
      </c>
      <c r="AA1112" s="370" t="e">
        <f t="shared" ca="1" si="661"/>
        <v>#NAME?</v>
      </c>
      <c r="AB1112" s="171"/>
      <c r="AC1112" s="172">
        <f>AC1114+AC1119</f>
        <v>14000</v>
      </c>
      <c r="AD1112" s="172">
        <f>AD1114+AD1119</f>
        <v>14000</v>
      </c>
      <c r="AE1112" s="178">
        <f>O1112/M1112*100</f>
        <v>124.56563641510196</v>
      </c>
      <c r="AF1112" s="178">
        <f>P1112/O1112*100</f>
        <v>110.06530395827474</v>
      </c>
      <c r="AG1112" s="178">
        <f>Q1112/P1112*100</f>
        <v>100</v>
      </c>
      <c r="AH1112" s="178">
        <f>AC1112/Q1112*100</f>
        <v>103.7037037037037</v>
      </c>
      <c r="AI1112" s="171"/>
      <c r="AJ1112" s="171">
        <v>16000</v>
      </c>
      <c r="AK1112" s="171">
        <f t="shared" si="687"/>
        <v>239.84336759667158</v>
      </c>
      <c r="AL1112" s="171">
        <f t="shared" si="688"/>
        <v>61.224489795918366</v>
      </c>
      <c r="AM1112" s="171">
        <f t="shared" si="688"/>
        <v>106.66666666666667</v>
      </c>
      <c r="AN1112" s="90"/>
      <c r="AO1112" s="193"/>
      <c r="AP1112" s="193" t="e">
        <f t="shared" ca="1" si="658"/>
        <v>#NAME?</v>
      </c>
      <c r="AQ1112" s="200">
        <f>AQ1114+AQ1119</f>
        <v>27185.42</v>
      </c>
      <c r="AR1112" s="204">
        <f t="shared" si="663"/>
        <v>239.84336759667158</v>
      </c>
      <c r="AS1112" s="204">
        <f t="shared" si="666"/>
        <v>100</v>
      </c>
      <c r="AT1112" s="204">
        <f t="shared" si="664"/>
        <v>239.84336759667158</v>
      </c>
      <c r="AU1112" s="204">
        <f t="shared" si="667"/>
        <v>110.96089795918367</v>
      </c>
      <c r="AV1112" s="204">
        <f t="shared" si="665"/>
        <v>266.1323543808125</v>
      </c>
    </row>
    <row r="1113" spans="1:48" ht="12" customHeight="1">
      <c r="A1113" s="24"/>
      <c r="B1113" s="24"/>
      <c r="C1113" s="24"/>
      <c r="D1113" s="24"/>
      <c r="E1113" s="24"/>
      <c r="F1113" s="24"/>
      <c r="G1113" s="24"/>
      <c r="H1113" s="393"/>
      <c r="I1113" s="465"/>
      <c r="J1113" s="281"/>
      <c r="K1113" s="2"/>
      <c r="L1113" s="112"/>
      <c r="M1113" s="112"/>
      <c r="N1113" s="113"/>
      <c r="O1113" s="113"/>
      <c r="P1113" s="114"/>
      <c r="Q1113" s="114"/>
      <c r="R1113" s="88"/>
      <c r="S1113" s="90"/>
      <c r="T1113" s="90"/>
      <c r="U1113" s="90"/>
      <c r="V1113" s="200"/>
      <c r="W1113" s="200"/>
      <c r="X1113" s="167"/>
      <c r="Y1113" s="370"/>
      <c r="Z1113" s="370"/>
      <c r="AA1113" s="370" t="e">
        <f t="shared" ca="1" si="661"/>
        <v>#NAME?</v>
      </c>
      <c r="AB1113" s="171"/>
      <c r="AC1113" s="172"/>
      <c r="AD1113" s="172"/>
      <c r="AE1113" s="178"/>
      <c r="AF1113" s="178"/>
      <c r="AG1113" s="178"/>
      <c r="AH1113" s="178"/>
      <c r="AI1113" s="171"/>
      <c r="AJ1113" s="370"/>
      <c r="AK1113" s="171"/>
      <c r="AL1113" s="171"/>
      <c r="AM1113" s="171"/>
      <c r="AN1113" s="90"/>
      <c r="AO1113" s="193"/>
      <c r="AP1113" s="193" t="e">
        <f t="shared" ca="1" si="658"/>
        <v>#NAME?</v>
      </c>
      <c r="AQ1113" s="200"/>
      <c r="AR1113" s="204"/>
      <c r="AS1113" s="204"/>
      <c r="AT1113" s="204"/>
      <c r="AU1113" s="204"/>
      <c r="AV1113" s="204"/>
    </row>
    <row r="1114" spans="1:48" ht="12" customHeight="1">
      <c r="A1114" s="473"/>
      <c r="B1114" s="473"/>
      <c r="C1114" s="473"/>
      <c r="D1114" s="473"/>
      <c r="E1114" s="473"/>
      <c r="F1114" s="473"/>
      <c r="G1114" s="473"/>
      <c r="H1114" s="474"/>
      <c r="I1114" s="464"/>
      <c r="J1114" s="303">
        <v>422</v>
      </c>
      <c r="K1114" s="19" t="s">
        <v>419</v>
      </c>
      <c r="L1114" s="112">
        <f t="shared" ref="L1114:Z1114" si="691">L1115</f>
        <v>0</v>
      </c>
      <c r="M1114" s="112">
        <f t="shared" si="691"/>
        <v>0</v>
      </c>
      <c r="N1114" s="113">
        <f t="shared" si="691"/>
        <v>21014</v>
      </c>
      <c r="O1114" s="113">
        <f t="shared" si="691"/>
        <v>2789.0370960249516</v>
      </c>
      <c r="P1114" s="114">
        <f t="shared" si="691"/>
        <v>2800</v>
      </c>
      <c r="Q1114" s="114">
        <f t="shared" si="691"/>
        <v>2800</v>
      </c>
      <c r="R1114" s="88">
        <f t="shared" si="691"/>
        <v>0</v>
      </c>
      <c r="S1114" s="90">
        <f t="shared" si="691"/>
        <v>0</v>
      </c>
      <c r="T1114" s="90"/>
      <c r="U1114" s="90"/>
      <c r="V1114" s="200">
        <f>V1115</f>
        <v>12500</v>
      </c>
      <c r="W1114" s="200">
        <f t="shared" si="691"/>
        <v>12500</v>
      </c>
      <c r="X1114" s="88">
        <f t="shared" si="691"/>
        <v>3000</v>
      </c>
      <c r="Y1114" s="171">
        <f t="shared" si="691"/>
        <v>3000</v>
      </c>
      <c r="Z1114" s="171">
        <f t="shared" si="691"/>
        <v>0</v>
      </c>
      <c r="AA1114" s="370" t="e">
        <f t="shared" ca="1" si="661"/>
        <v>#NAME?</v>
      </c>
      <c r="AB1114" s="171"/>
      <c r="AC1114" s="172">
        <f>AC1115</f>
        <v>3000</v>
      </c>
      <c r="AD1114" s="172">
        <f>AD1115</f>
        <v>3000</v>
      </c>
      <c r="AE1114" s="178"/>
      <c r="AF1114" s="178"/>
      <c r="AG1114" s="178"/>
      <c r="AH1114" s="178"/>
      <c r="AI1114" s="171"/>
      <c r="AJ1114" s="171">
        <v>3000</v>
      </c>
      <c r="AK1114" s="171"/>
      <c r="AL1114" s="171">
        <f t="shared" si="688"/>
        <v>24</v>
      </c>
      <c r="AM1114" s="171">
        <f t="shared" si="688"/>
        <v>100</v>
      </c>
      <c r="AN1114" s="90"/>
      <c r="AO1114" s="193"/>
      <c r="AP1114" s="193" t="e">
        <f t="shared" ca="1" si="658"/>
        <v>#NAME?</v>
      </c>
      <c r="AQ1114" s="200">
        <f>AQ1115+AQ1116+AQ1117</f>
        <v>11572.42</v>
      </c>
      <c r="AR1114" s="204"/>
      <c r="AS1114" s="204">
        <f t="shared" si="666"/>
        <v>100</v>
      </c>
      <c r="AT1114" s="204"/>
      <c r="AU1114" s="204">
        <f t="shared" si="667"/>
        <v>92.579359999999994</v>
      </c>
      <c r="AV1114" s="204"/>
    </row>
    <row r="1115" spans="1:48" ht="12" customHeight="1">
      <c r="A1115" s="209"/>
      <c r="B1115" s="209"/>
      <c r="C1115" s="209"/>
      <c r="D1115" s="209"/>
      <c r="E1115" s="209"/>
      <c r="F1115" s="209"/>
      <c r="G1115" s="209"/>
      <c r="H1115" s="21" t="s">
        <v>845</v>
      </c>
      <c r="I1115" s="397">
        <v>820</v>
      </c>
      <c r="J1115" s="229">
        <v>4221</v>
      </c>
      <c r="K1115" s="18" t="s">
        <v>303</v>
      </c>
      <c r="L1115" s="130">
        <v>0</v>
      </c>
      <c r="M1115" s="130">
        <v>0</v>
      </c>
      <c r="N1115" s="131">
        <v>21014</v>
      </c>
      <c r="O1115" s="131">
        <f>N1115/7.5345</f>
        <v>2789.0370960249516</v>
      </c>
      <c r="P1115" s="132">
        <v>2800</v>
      </c>
      <c r="Q1115" s="132">
        <v>2800</v>
      </c>
      <c r="R1115" s="159">
        <v>0</v>
      </c>
      <c r="S1115" s="165"/>
      <c r="T1115" s="165"/>
      <c r="U1115" s="165"/>
      <c r="V1115" s="200">
        <v>12500</v>
      </c>
      <c r="W1115" s="200">
        <v>12500</v>
      </c>
      <c r="X1115" s="164">
        <v>3000</v>
      </c>
      <c r="Y1115" s="378">
        <v>3000</v>
      </c>
      <c r="Z1115" s="378"/>
      <c r="AA1115" s="370" t="e">
        <f t="shared" ca="1" si="661"/>
        <v>#NAME?</v>
      </c>
      <c r="AB1115" s="183"/>
      <c r="AC1115" s="178">
        <v>3000</v>
      </c>
      <c r="AD1115" s="178">
        <v>3000</v>
      </c>
      <c r="AE1115" s="178"/>
      <c r="AF1115" s="178"/>
      <c r="AG1115" s="178"/>
      <c r="AH1115" s="178"/>
      <c r="AI1115" s="183"/>
      <c r="AJ1115" s="378">
        <v>3000</v>
      </c>
      <c r="AK1115" s="171"/>
      <c r="AL1115" s="171">
        <f t="shared" si="688"/>
        <v>24</v>
      </c>
      <c r="AM1115" s="171">
        <f t="shared" si="688"/>
        <v>100</v>
      </c>
      <c r="AN1115" s="165"/>
      <c r="AO1115" s="193"/>
      <c r="AP1115" s="193" t="e">
        <f t="shared" ca="1" si="658"/>
        <v>#NAME?</v>
      </c>
      <c r="AQ1115" s="200">
        <v>1187.53</v>
      </c>
      <c r="AR1115" s="204"/>
      <c r="AS1115" s="204">
        <f t="shared" si="666"/>
        <v>100</v>
      </c>
      <c r="AT1115" s="204"/>
      <c r="AU1115" s="204">
        <f t="shared" si="667"/>
        <v>9.5002399999999998</v>
      </c>
      <c r="AV1115" s="204"/>
    </row>
    <row r="1116" spans="1:48" ht="12" customHeight="1">
      <c r="A1116" s="209"/>
      <c r="B1116" s="209"/>
      <c r="C1116" s="209"/>
      <c r="D1116" s="209"/>
      <c r="E1116" s="209"/>
      <c r="F1116" s="209"/>
      <c r="G1116" s="209"/>
      <c r="H1116" s="21"/>
      <c r="I1116" s="397"/>
      <c r="J1116" s="229">
        <v>4223</v>
      </c>
      <c r="K1116" s="18" t="s">
        <v>846</v>
      </c>
      <c r="L1116" s="130"/>
      <c r="M1116" s="130"/>
      <c r="N1116" s="131"/>
      <c r="O1116" s="131"/>
      <c r="P1116" s="132"/>
      <c r="Q1116" s="132"/>
      <c r="R1116" s="159"/>
      <c r="S1116" s="165"/>
      <c r="T1116" s="165"/>
      <c r="U1116" s="165"/>
      <c r="V1116" s="200"/>
      <c r="W1116" s="200"/>
      <c r="X1116" s="164"/>
      <c r="Y1116" s="378"/>
      <c r="Z1116" s="378"/>
      <c r="AA1116" s="370"/>
      <c r="AB1116" s="183"/>
      <c r="AC1116" s="178"/>
      <c r="AD1116" s="178"/>
      <c r="AE1116" s="178"/>
      <c r="AF1116" s="178"/>
      <c r="AG1116" s="178"/>
      <c r="AH1116" s="178"/>
      <c r="AI1116" s="183"/>
      <c r="AJ1116" s="378"/>
      <c r="AK1116" s="171"/>
      <c r="AL1116" s="171"/>
      <c r="AM1116" s="171"/>
      <c r="AN1116" s="165"/>
      <c r="AO1116" s="193"/>
      <c r="AP1116" s="193"/>
      <c r="AQ1116" s="200">
        <v>9492</v>
      </c>
      <c r="AR1116" s="204"/>
      <c r="AS1116" s="204"/>
      <c r="AT1116" s="204"/>
      <c r="AU1116" s="204"/>
      <c r="AV1116" s="204"/>
    </row>
    <row r="1117" spans="1:48" ht="12" customHeight="1">
      <c r="A1117" s="209"/>
      <c r="B1117" s="209"/>
      <c r="C1117" s="209"/>
      <c r="D1117" s="209"/>
      <c r="E1117" s="209"/>
      <c r="F1117" s="209"/>
      <c r="G1117" s="209"/>
      <c r="H1117" s="21"/>
      <c r="I1117" s="397"/>
      <c r="J1117" s="229">
        <v>4227</v>
      </c>
      <c r="K1117" s="18" t="s">
        <v>847</v>
      </c>
      <c r="L1117" s="130"/>
      <c r="M1117" s="130"/>
      <c r="N1117" s="131"/>
      <c r="O1117" s="131"/>
      <c r="P1117" s="132"/>
      <c r="Q1117" s="132"/>
      <c r="R1117" s="159"/>
      <c r="S1117" s="165"/>
      <c r="T1117" s="165"/>
      <c r="U1117" s="165"/>
      <c r="V1117" s="200"/>
      <c r="W1117" s="200"/>
      <c r="X1117" s="164"/>
      <c r="Y1117" s="378"/>
      <c r="Z1117" s="378"/>
      <c r="AA1117" s="370"/>
      <c r="AB1117" s="183"/>
      <c r="AC1117" s="178"/>
      <c r="AD1117" s="178"/>
      <c r="AE1117" s="178"/>
      <c r="AF1117" s="178"/>
      <c r="AG1117" s="178"/>
      <c r="AH1117" s="178"/>
      <c r="AI1117" s="183"/>
      <c r="AJ1117" s="378"/>
      <c r="AK1117" s="171"/>
      <c r="AL1117" s="171"/>
      <c r="AM1117" s="171"/>
      <c r="AN1117" s="165"/>
      <c r="AO1117" s="193"/>
      <c r="AP1117" s="193"/>
      <c r="AQ1117" s="200">
        <v>892.89</v>
      </c>
      <c r="AR1117" s="204"/>
      <c r="AS1117" s="204"/>
      <c r="AT1117" s="204"/>
      <c r="AU1117" s="204"/>
      <c r="AV1117" s="204"/>
    </row>
    <row r="1118" spans="1:48" ht="12" customHeight="1">
      <c r="A1118" s="24"/>
      <c r="B1118" s="24"/>
      <c r="C1118" s="24"/>
      <c r="D1118" s="24"/>
      <c r="E1118" s="24"/>
      <c r="F1118" s="24"/>
      <c r="G1118" s="24"/>
      <c r="H1118" s="393"/>
      <c r="I1118" s="465"/>
      <c r="J1118" s="281"/>
      <c r="K1118" s="2"/>
      <c r="L1118" s="85"/>
      <c r="M1118" s="85"/>
      <c r="N1118" s="86"/>
      <c r="O1118" s="86"/>
      <c r="P1118" s="87"/>
      <c r="Q1118" s="87"/>
      <c r="R1118" s="160"/>
      <c r="S1118" s="161"/>
      <c r="T1118" s="161"/>
      <c r="U1118" s="161"/>
      <c r="V1118" s="200"/>
      <c r="W1118" s="200"/>
      <c r="X1118" s="361"/>
      <c r="Y1118" s="373"/>
      <c r="Z1118" s="373"/>
      <c r="AA1118" s="370" t="e">
        <f t="shared" ref="AA1118:AA1181" ca="1" si="692">__xlfn.ISFORMULA(R1118)</f>
        <v>#NAME?</v>
      </c>
      <c r="AB1118" s="181"/>
      <c r="AC1118" s="182"/>
      <c r="AD1118" s="182"/>
      <c r="AE1118" s="178"/>
      <c r="AF1118" s="178"/>
      <c r="AG1118" s="178"/>
      <c r="AH1118" s="178"/>
      <c r="AI1118" s="181"/>
      <c r="AJ1118" s="373"/>
      <c r="AK1118" s="171"/>
      <c r="AL1118" s="171"/>
      <c r="AM1118" s="171"/>
      <c r="AN1118" s="161"/>
      <c r="AO1118" s="193"/>
      <c r="AP1118" s="193" t="e">
        <f t="shared" ref="AP1118:AP1181" ca="1" si="693">__xlfn.ISFORMULA(X1118)</f>
        <v>#NAME?</v>
      </c>
      <c r="AQ1118" s="200"/>
      <c r="AR1118" s="204"/>
      <c r="AS1118" s="204"/>
      <c r="AT1118" s="204"/>
      <c r="AU1118" s="204"/>
      <c r="AV1118" s="204"/>
    </row>
    <row r="1119" spans="1:48" ht="12" customHeight="1">
      <c r="A1119" s="473"/>
      <c r="B1119" s="473"/>
      <c r="C1119" s="473"/>
      <c r="D1119" s="473"/>
      <c r="E1119" s="473"/>
      <c r="F1119" s="473"/>
      <c r="G1119" s="473"/>
      <c r="H1119" s="474"/>
      <c r="I1119" s="464"/>
      <c r="J1119" s="303">
        <v>424</v>
      </c>
      <c r="K1119" s="19" t="s">
        <v>848</v>
      </c>
      <c r="L1119" s="112">
        <f t="shared" ref="L1119:Z1119" si="694">L1120</f>
        <v>74189</v>
      </c>
      <c r="M1119" s="112">
        <f t="shared" si="694"/>
        <v>9846.572433472691</v>
      </c>
      <c r="N1119" s="113">
        <f t="shared" si="694"/>
        <v>71400</v>
      </c>
      <c r="O1119" s="113">
        <f t="shared" si="694"/>
        <v>9476.4085208042998</v>
      </c>
      <c r="P1119" s="114">
        <f t="shared" si="694"/>
        <v>10700</v>
      </c>
      <c r="Q1119" s="114">
        <f t="shared" si="694"/>
        <v>10700</v>
      </c>
      <c r="R1119" s="88">
        <f t="shared" si="694"/>
        <v>10215</v>
      </c>
      <c r="S1119" s="90">
        <f t="shared" si="694"/>
        <v>0</v>
      </c>
      <c r="T1119" s="90"/>
      <c r="U1119" s="90"/>
      <c r="V1119" s="200">
        <f>V1120</f>
        <v>12000</v>
      </c>
      <c r="W1119" s="200">
        <f t="shared" si="694"/>
        <v>12000</v>
      </c>
      <c r="X1119" s="88">
        <f t="shared" si="694"/>
        <v>12000</v>
      </c>
      <c r="Y1119" s="171">
        <f t="shared" si="694"/>
        <v>13000</v>
      </c>
      <c r="Z1119" s="171">
        <f t="shared" si="694"/>
        <v>0</v>
      </c>
      <c r="AA1119" s="370" t="e">
        <f t="shared" ca="1" si="692"/>
        <v>#NAME?</v>
      </c>
      <c r="AB1119" s="171"/>
      <c r="AC1119" s="172">
        <f>AC1120</f>
        <v>11000</v>
      </c>
      <c r="AD1119" s="172">
        <f>AD1120</f>
        <v>11000</v>
      </c>
      <c r="AE1119" s="178">
        <f>O1119/M1119*100</f>
        <v>96.24068258097563</v>
      </c>
      <c r="AF1119" s="178">
        <f>P1119/O1119*100</f>
        <v>112.91197478991597</v>
      </c>
      <c r="AG1119" s="178">
        <f>Q1119/P1119*100</f>
        <v>100</v>
      </c>
      <c r="AH1119" s="178">
        <f>AC1119/Q1119*100</f>
        <v>102.803738317757</v>
      </c>
      <c r="AI1119" s="171"/>
      <c r="AJ1119" s="171">
        <v>13000</v>
      </c>
      <c r="AK1119" s="171">
        <f t="shared" si="687"/>
        <v>117.47430249632893</v>
      </c>
      <c r="AL1119" s="171">
        <f t="shared" si="688"/>
        <v>100</v>
      </c>
      <c r="AM1119" s="171">
        <f t="shared" si="688"/>
        <v>108.33333333333333</v>
      </c>
      <c r="AN1119" s="90"/>
      <c r="AO1119" s="193"/>
      <c r="AP1119" s="193" t="e">
        <f t="shared" ca="1" si="693"/>
        <v>#NAME?</v>
      </c>
      <c r="AQ1119" s="200">
        <f>AQ1120</f>
        <v>15613</v>
      </c>
      <c r="AR1119" s="204">
        <f t="shared" si="663"/>
        <v>117.47430249632893</v>
      </c>
      <c r="AS1119" s="204">
        <f t="shared" si="666"/>
        <v>100</v>
      </c>
      <c r="AT1119" s="204">
        <f t="shared" si="664"/>
        <v>117.47430249632893</v>
      </c>
      <c r="AU1119" s="204">
        <f t="shared" si="667"/>
        <v>130.10833333333335</v>
      </c>
      <c r="AV1119" s="204">
        <f t="shared" si="665"/>
        <v>152.84385707293197</v>
      </c>
    </row>
    <row r="1120" spans="1:48" ht="12" customHeight="1">
      <c r="A1120" s="209"/>
      <c r="B1120" s="209"/>
      <c r="C1120" s="209"/>
      <c r="D1120" s="209"/>
      <c r="E1120" s="209"/>
      <c r="F1120" s="209"/>
      <c r="G1120" s="209"/>
      <c r="H1120" s="21" t="s">
        <v>849</v>
      </c>
      <c r="I1120" s="397">
        <v>820</v>
      </c>
      <c r="J1120" s="229">
        <v>4241</v>
      </c>
      <c r="K1120" s="18" t="s">
        <v>850</v>
      </c>
      <c r="L1120" s="130">
        <v>74189</v>
      </c>
      <c r="M1120" s="130">
        <f>74189/7.5345</f>
        <v>9846.572433472691</v>
      </c>
      <c r="N1120" s="131">
        <v>71400</v>
      </c>
      <c r="O1120" s="131">
        <f>N1120/7.5345</f>
        <v>9476.4085208042998</v>
      </c>
      <c r="P1120" s="132">
        <v>10700</v>
      </c>
      <c r="Q1120" s="132">
        <v>10700</v>
      </c>
      <c r="R1120" s="159">
        <v>10215</v>
      </c>
      <c r="S1120" s="165"/>
      <c r="T1120" s="165"/>
      <c r="U1120" s="165"/>
      <c r="V1120" s="200">
        <v>12000</v>
      </c>
      <c r="W1120" s="200">
        <v>12000</v>
      </c>
      <c r="X1120" s="164">
        <v>12000</v>
      </c>
      <c r="Y1120" s="378">
        <v>13000</v>
      </c>
      <c r="Z1120" s="378"/>
      <c r="AA1120" s="370" t="e">
        <f t="shared" ca="1" si="692"/>
        <v>#NAME?</v>
      </c>
      <c r="AB1120" s="183"/>
      <c r="AC1120" s="178">
        <v>11000</v>
      </c>
      <c r="AD1120" s="178">
        <v>11000</v>
      </c>
      <c r="AE1120" s="178">
        <f>O1120/M1120*100</f>
        <v>96.24068258097563</v>
      </c>
      <c r="AF1120" s="178">
        <f>P1120/O1120*100</f>
        <v>112.91197478991597</v>
      </c>
      <c r="AG1120" s="178">
        <f>Q1120/P1120*100</f>
        <v>100</v>
      </c>
      <c r="AH1120" s="178">
        <f>AC1120/Q1120*100</f>
        <v>102.803738317757</v>
      </c>
      <c r="AI1120" s="183"/>
      <c r="AJ1120" s="378">
        <v>13000</v>
      </c>
      <c r="AK1120" s="171">
        <f t="shared" si="687"/>
        <v>117.47430249632893</v>
      </c>
      <c r="AL1120" s="171">
        <f t="shared" si="688"/>
        <v>100</v>
      </c>
      <c r="AM1120" s="171">
        <f t="shared" si="688"/>
        <v>108.33333333333333</v>
      </c>
      <c r="AN1120" s="165"/>
      <c r="AO1120" s="193"/>
      <c r="AP1120" s="193" t="e">
        <f t="shared" ca="1" si="693"/>
        <v>#NAME?</v>
      </c>
      <c r="AQ1120" s="200">
        <v>15613</v>
      </c>
      <c r="AR1120" s="204">
        <f t="shared" si="663"/>
        <v>117.47430249632893</v>
      </c>
      <c r="AS1120" s="204">
        <f t="shared" si="666"/>
        <v>100</v>
      </c>
      <c r="AT1120" s="204">
        <f t="shared" si="664"/>
        <v>117.47430249632893</v>
      </c>
      <c r="AU1120" s="204">
        <f t="shared" si="667"/>
        <v>130.10833333333335</v>
      </c>
      <c r="AV1120" s="204">
        <f t="shared" si="665"/>
        <v>152.84385707293197</v>
      </c>
    </row>
    <row r="1121" spans="1:48" ht="12" customHeight="1">
      <c r="A1121" s="42"/>
      <c r="B1121" s="42"/>
      <c r="C1121" s="42"/>
      <c r="D1121" s="42"/>
      <c r="E1121" s="42"/>
      <c r="F1121" s="42"/>
      <c r="G1121" s="42"/>
      <c r="H1121" s="308"/>
      <c r="I1121" s="14"/>
      <c r="J1121" s="2"/>
      <c r="K1121" s="84"/>
      <c r="L1121" s="85"/>
      <c r="M1121" s="85"/>
      <c r="N1121" s="86"/>
      <c r="O1121" s="86"/>
      <c r="P1121" s="87"/>
      <c r="Q1121" s="87"/>
      <c r="R1121" s="160"/>
      <c r="S1121" s="161"/>
      <c r="T1121" s="161"/>
      <c r="U1121" s="161"/>
      <c r="V1121" s="200"/>
      <c r="W1121" s="200"/>
      <c r="X1121" s="361"/>
      <c r="Y1121" s="373"/>
      <c r="Z1121" s="373"/>
      <c r="AA1121" s="370" t="e">
        <f t="shared" ca="1" si="692"/>
        <v>#NAME?</v>
      </c>
      <c r="AB1121" s="181"/>
      <c r="AC1121" s="182"/>
      <c r="AD1121" s="182"/>
      <c r="AE1121" s="178"/>
      <c r="AF1121" s="178"/>
      <c r="AG1121" s="178"/>
      <c r="AH1121" s="178"/>
      <c r="AI1121" s="181"/>
      <c r="AJ1121" s="373"/>
      <c r="AK1121" s="171"/>
      <c r="AL1121" s="171"/>
      <c r="AM1121" s="171"/>
      <c r="AN1121" s="161"/>
      <c r="AO1121" s="193"/>
      <c r="AP1121" s="193" t="e">
        <f t="shared" ca="1" si="693"/>
        <v>#NAME?</v>
      </c>
      <c r="AQ1121" s="200"/>
      <c r="AR1121" s="204"/>
      <c r="AS1121" s="204"/>
      <c r="AT1121" s="204"/>
      <c r="AU1121" s="204"/>
      <c r="AV1121" s="204"/>
    </row>
    <row r="1122" spans="1:48" ht="12" customHeight="1">
      <c r="A1122" s="476"/>
      <c r="B1122" s="476"/>
      <c r="C1122" s="476"/>
      <c r="D1122" s="476"/>
      <c r="E1122" s="476"/>
      <c r="F1122" s="476"/>
      <c r="G1122" s="476"/>
      <c r="H1122" s="22"/>
      <c r="I1122" s="350"/>
      <c r="J1122" s="302">
        <v>45</v>
      </c>
      <c r="K1122" s="343" t="s">
        <v>851</v>
      </c>
      <c r="L1122" s="112">
        <f t="shared" ref="L1122:AD1123" si="695">L1123</f>
        <v>0</v>
      </c>
      <c r="M1122" s="112">
        <f t="shared" si="695"/>
        <v>0</v>
      </c>
      <c r="N1122" s="113">
        <f t="shared" si="695"/>
        <v>0</v>
      </c>
      <c r="O1122" s="113">
        <f t="shared" si="695"/>
        <v>0</v>
      </c>
      <c r="P1122" s="114">
        <f t="shared" si="695"/>
        <v>0</v>
      </c>
      <c r="Q1122" s="114">
        <f t="shared" si="695"/>
        <v>0</v>
      </c>
      <c r="R1122" s="88">
        <f t="shared" si="695"/>
        <v>0</v>
      </c>
      <c r="S1122" s="90">
        <f t="shared" si="695"/>
        <v>0</v>
      </c>
      <c r="T1122" s="90"/>
      <c r="U1122" s="90"/>
      <c r="V1122" s="200">
        <f>V1123</f>
        <v>0</v>
      </c>
      <c r="W1122" s="200">
        <f t="shared" si="695"/>
        <v>0</v>
      </c>
      <c r="X1122" s="88">
        <f t="shared" si="695"/>
        <v>0</v>
      </c>
      <c r="Y1122" s="171">
        <f t="shared" si="695"/>
        <v>0</v>
      </c>
      <c r="Z1122" s="171">
        <f t="shared" si="695"/>
        <v>0</v>
      </c>
      <c r="AA1122" s="370" t="e">
        <f t="shared" ca="1" si="692"/>
        <v>#NAME?</v>
      </c>
      <c r="AB1122" s="171"/>
      <c r="AC1122" s="172">
        <f t="shared" si="695"/>
        <v>0</v>
      </c>
      <c r="AD1122" s="172">
        <f t="shared" si="695"/>
        <v>0</v>
      </c>
      <c r="AE1122" s="178"/>
      <c r="AF1122" s="178"/>
      <c r="AG1122" s="178"/>
      <c r="AH1122" s="178"/>
      <c r="AI1122" s="171"/>
      <c r="AJ1122" s="171">
        <v>0</v>
      </c>
      <c r="AK1122" s="171"/>
      <c r="AL1122" s="171"/>
      <c r="AM1122" s="171"/>
      <c r="AN1122" s="90"/>
      <c r="AO1122" s="193"/>
      <c r="AP1122" s="193" t="e">
        <f t="shared" ca="1" si="693"/>
        <v>#NAME?</v>
      </c>
      <c r="AQ1122" s="200">
        <f>AQ1123</f>
        <v>0</v>
      </c>
      <c r="AR1122" s="204"/>
      <c r="AS1122" s="204"/>
      <c r="AT1122" s="204"/>
      <c r="AU1122" s="204"/>
      <c r="AV1122" s="204"/>
    </row>
    <row r="1123" spans="1:48" ht="12" customHeight="1">
      <c r="A1123" s="473"/>
      <c r="B1123" s="473"/>
      <c r="C1123" s="473"/>
      <c r="D1123" s="473"/>
      <c r="E1123" s="473"/>
      <c r="F1123" s="473"/>
      <c r="G1123" s="473"/>
      <c r="H1123" s="474"/>
      <c r="I1123" s="464"/>
      <c r="J1123" s="303">
        <v>451</v>
      </c>
      <c r="K1123" s="19" t="s">
        <v>852</v>
      </c>
      <c r="L1123" s="112">
        <f t="shared" si="695"/>
        <v>0</v>
      </c>
      <c r="M1123" s="112">
        <f t="shared" si="695"/>
        <v>0</v>
      </c>
      <c r="N1123" s="113">
        <f t="shared" si="695"/>
        <v>0</v>
      </c>
      <c r="O1123" s="113">
        <f t="shared" si="695"/>
        <v>0</v>
      </c>
      <c r="P1123" s="114">
        <f t="shared" si="695"/>
        <v>0</v>
      </c>
      <c r="Q1123" s="114">
        <f t="shared" si="695"/>
        <v>0</v>
      </c>
      <c r="R1123" s="88">
        <f t="shared" si="695"/>
        <v>0</v>
      </c>
      <c r="S1123" s="90">
        <f t="shared" si="695"/>
        <v>0</v>
      </c>
      <c r="T1123" s="90"/>
      <c r="U1123" s="90"/>
      <c r="V1123" s="200">
        <f>V1124</f>
        <v>0</v>
      </c>
      <c r="W1123" s="200">
        <f t="shared" si="695"/>
        <v>0</v>
      </c>
      <c r="X1123" s="88">
        <f t="shared" si="695"/>
        <v>0</v>
      </c>
      <c r="Y1123" s="171">
        <f t="shared" si="695"/>
        <v>0</v>
      </c>
      <c r="Z1123" s="171">
        <f t="shared" si="695"/>
        <v>0</v>
      </c>
      <c r="AA1123" s="370" t="e">
        <f t="shared" ca="1" si="692"/>
        <v>#NAME?</v>
      </c>
      <c r="AB1123" s="171"/>
      <c r="AC1123" s="172">
        <f t="shared" si="695"/>
        <v>0</v>
      </c>
      <c r="AD1123" s="172">
        <f t="shared" si="695"/>
        <v>0</v>
      </c>
      <c r="AE1123" s="178"/>
      <c r="AF1123" s="178"/>
      <c r="AG1123" s="178"/>
      <c r="AH1123" s="178"/>
      <c r="AI1123" s="171"/>
      <c r="AJ1123" s="171">
        <v>0</v>
      </c>
      <c r="AK1123" s="171"/>
      <c r="AL1123" s="171"/>
      <c r="AM1123" s="171"/>
      <c r="AN1123" s="90"/>
      <c r="AO1123" s="193"/>
      <c r="AP1123" s="193" t="e">
        <f t="shared" ca="1" si="693"/>
        <v>#NAME?</v>
      </c>
      <c r="AQ1123" s="200">
        <f>AQ1124</f>
        <v>0</v>
      </c>
      <c r="AR1123" s="204"/>
      <c r="AS1123" s="204"/>
      <c r="AT1123" s="204"/>
      <c r="AU1123" s="204"/>
      <c r="AV1123" s="204"/>
    </row>
    <row r="1124" spans="1:48" ht="12" customHeight="1">
      <c r="A1124" s="209"/>
      <c r="B1124" s="209"/>
      <c r="C1124" s="209"/>
      <c r="D1124" s="209"/>
      <c r="E1124" s="209"/>
      <c r="F1124" s="209"/>
      <c r="G1124" s="209"/>
      <c r="H1124" s="21" t="s">
        <v>853</v>
      </c>
      <c r="I1124" s="397">
        <v>820</v>
      </c>
      <c r="J1124" s="229">
        <v>4511</v>
      </c>
      <c r="K1124" s="18" t="s">
        <v>854</v>
      </c>
      <c r="L1124" s="130">
        <v>0</v>
      </c>
      <c r="M1124" s="130">
        <v>0</v>
      </c>
      <c r="N1124" s="131">
        <v>0</v>
      </c>
      <c r="O1124" s="131">
        <v>0</v>
      </c>
      <c r="P1124" s="132">
        <v>0</v>
      </c>
      <c r="Q1124" s="132">
        <v>0</v>
      </c>
      <c r="R1124" s="159">
        <v>0</v>
      </c>
      <c r="S1124" s="165"/>
      <c r="T1124" s="165"/>
      <c r="U1124" s="165"/>
      <c r="V1124" s="200"/>
      <c r="W1124" s="200"/>
      <c r="X1124" s="164"/>
      <c r="Y1124" s="378"/>
      <c r="Z1124" s="378"/>
      <c r="AA1124" s="370" t="e">
        <f t="shared" ca="1" si="692"/>
        <v>#NAME?</v>
      </c>
      <c r="AB1124" s="183"/>
      <c r="AC1124" s="178">
        <v>0</v>
      </c>
      <c r="AD1124" s="178">
        <v>0</v>
      </c>
      <c r="AE1124" s="178"/>
      <c r="AF1124" s="178"/>
      <c r="AG1124" s="178"/>
      <c r="AH1124" s="178"/>
      <c r="AI1124" s="183"/>
      <c r="AJ1124" s="378"/>
      <c r="AK1124" s="171"/>
      <c r="AL1124" s="171"/>
      <c r="AM1124" s="171"/>
      <c r="AN1124" s="165"/>
      <c r="AO1124" s="193"/>
      <c r="AP1124" s="193" t="e">
        <f t="shared" ca="1" si="693"/>
        <v>#NAME?</v>
      </c>
      <c r="AQ1124" s="200"/>
      <c r="AR1124" s="204"/>
      <c r="AS1124" s="204"/>
      <c r="AT1124" s="204"/>
      <c r="AU1124" s="204"/>
      <c r="AV1124" s="204"/>
    </row>
    <row r="1125" spans="1:48" ht="12" customHeight="1">
      <c r="A1125" s="42"/>
      <c r="B1125" s="42"/>
      <c r="C1125" s="42"/>
      <c r="D1125" s="42"/>
      <c r="E1125" s="42"/>
      <c r="F1125" s="42"/>
      <c r="G1125" s="42"/>
      <c r="H1125" s="308"/>
      <c r="I1125" s="14"/>
      <c r="J1125" s="2"/>
      <c r="K1125" s="281"/>
      <c r="L1125" s="85"/>
      <c r="M1125" s="85"/>
      <c r="N1125" s="86"/>
      <c r="O1125" s="86"/>
      <c r="P1125" s="87"/>
      <c r="Q1125" s="87"/>
      <c r="R1125" s="160"/>
      <c r="S1125" s="161"/>
      <c r="T1125" s="161"/>
      <c r="U1125" s="161"/>
      <c r="V1125" s="200"/>
      <c r="W1125" s="200"/>
      <c r="X1125" s="361"/>
      <c r="Y1125" s="373"/>
      <c r="Z1125" s="373"/>
      <c r="AA1125" s="370" t="e">
        <f t="shared" ca="1" si="692"/>
        <v>#NAME?</v>
      </c>
      <c r="AB1125" s="181"/>
      <c r="AC1125" s="182"/>
      <c r="AD1125" s="182"/>
      <c r="AE1125" s="178"/>
      <c r="AF1125" s="178"/>
      <c r="AG1125" s="178"/>
      <c r="AH1125" s="178"/>
      <c r="AI1125" s="181"/>
      <c r="AJ1125" s="373"/>
      <c r="AK1125" s="171"/>
      <c r="AL1125" s="171"/>
      <c r="AM1125" s="171"/>
      <c r="AN1125" s="161"/>
      <c r="AO1125" s="193"/>
      <c r="AP1125" s="193" t="e">
        <f t="shared" ca="1" si="693"/>
        <v>#NAME?</v>
      </c>
      <c r="AQ1125" s="200"/>
      <c r="AR1125" s="204"/>
      <c r="AS1125" s="204"/>
      <c r="AT1125" s="204"/>
      <c r="AU1125" s="204"/>
      <c r="AV1125" s="204"/>
    </row>
    <row r="1126" spans="1:48" ht="12" customHeight="1">
      <c r="A1126" s="524"/>
      <c r="B1126" s="525"/>
      <c r="C1126" s="525"/>
      <c r="D1126" s="525"/>
      <c r="E1126" s="525"/>
      <c r="F1126" s="525"/>
      <c r="G1126" s="526"/>
      <c r="H1126" s="551" t="s">
        <v>821</v>
      </c>
      <c r="I1126" s="559"/>
      <c r="J1126" s="560" t="s">
        <v>855</v>
      </c>
      <c r="K1126" s="291"/>
      <c r="L1126" s="112">
        <f t="shared" ref="L1126:S1126" si="696">L1128</f>
        <v>3110987</v>
      </c>
      <c r="M1126" s="112">
        <f t="shared" si="696"/>
        <v>412898.93158139224</v>
      </c>
      <c r="N1126" s="113">
        <f t="shared" si="696"/>
        <v>1200494</v>
      </c>
      <c r="O1126" s="113">
        <f t="shared" si="696"/>
        <v>159332.93516490809</v>
      </c>
      <c r="P1126" s="114">
        <f t="shared" si="696"/>
        <v>143300</v>
      </c>
      <c r="Q1126" s="114">
        <f t="shared" si="696"/>
        <v>209860</v>
      </c>
      <c r="R1126" s="88">
        <f t="shared" si="696"/>
        <v>207957</v>
      </c>
      <c r="S1126" s="90">
        <f t="shared" si="696"/>
        <v>0</v>
      </c>
      <c r="T1126" s="90"/>
      <c r="U1126" s="90"/>
      <c r="V1126" s="200">
        <f>V1128</f>
        <v>237500</v>
      </c>
      <c r="W1126" s="200">
        <f>W1128</f>
        <v>237500</v>
      </c>
      <c r="X1126" s="88">
        <f>X1128</f>
        <v>476550</v>
      </c>
      <c r="Y1126" s="171">
        <f>Y1128</f>
        <v>439450</v>
      </c>
      <c r="Z1126" s="171">
        <f>Z1128</f>
        <v>0</v>
      </c>
      <c r="AA1126" s="370" t="e">
        <f t="shared" ca="1" si="692"/>
        <v>#NAME?</v>
      </c>
      <c r="AB1126" s="171"/>
      <c r="AC1126" s="172">
        <f>AC1128</f>
        <v>136400</v>
      </c>
      <c r="AD1126" s="172">
        <f>AD1128</f>
        <v>136400</v>
      </c>
      <c r="AE1126" s="178">
        <f>O1126/M1126*100</f>
        <v>38.588846562200359</v>
      </c>
      <c r="AF1126" s="178">
        <f>P1126/O1126*100</f>
        <v>89.93746324429776</v>
      </c>
      <c r="AG1126" s="178">
        <f>Q1126/P1126*100</f>
        <v>146.4480111653873</v>
      </c>
      <c r="AH1126" s="178">
        <f>AC1126/Q1126*100</f>
        <v>64.995711426665395</v>
      </c>
      <c r="AI1126" s="171"/>
      <c r="AJ1126" s="171">
        <v>439450</v>
      </c>
      <c r="AK1126" s="171">
        <f t="shared" si="687"/>
        <v>114.20630226441044</v>
      </c>
      <c r="AL1126" s="171">
        <f t="shared" si="688"/>
        <v>200.65263157894736</v>
      </c>
      <c r="AM1126" s="171">
        <f t="shared" si="688"/>
        <v>92.214877767285699</v>
      </c>
      <c r="AN1126" s="90"/>
      <c r="AO1126" s="193"/>
      <c r="AP1126" s="193" t="e">
        <f t="shared" ca="1" si="693"/>
        <v>#NAME?</v>
      </c>
      <c r="AQ1126" s="200">
        <f>AQ1128</f>
        <v>218022</v>
      </c>
      <c r="AR1126" s="204">
        <f t="shared" ref="AR1126:AR1187" si="697">V1126/R1126*100</f>
        <v>114.20630226441044</v>
      </c>
      <c r="AS1126" s="204">
        <f t="shared" ref="AS1126:AS1179" si="698">W1126/V1126*100</f>
        <v>100</v>
      </c>
      <c r="AT1126" s="204">
        <f t="shared" ref="AT1126:AT1187" si="699">W1126/R1126*100</f>
        <v>114.20630226441044</v>
      </c>
      <c r="AU1126" s="204">
        <f t="shared" ref="AU1126:AU1179" si="700">AQ1126/W1126*100</f>
        <v>91.798736842105271</v>
      </c>
      <c r="AV1126" s="204">
        <f t="shared" ref="AV1126:AV1187" si="701">AQ1126/R1126*100</f>
        <v>104.83994287280542</v>
      </c>
    </row>
    <row r="1127" spans="1:48" ht="12" customHeight="1">
      <c r="A1127" s="552"/>
      <c r="B1127" s="553"/>
      <c r="C1127" s="553"/>
      <c r="D1127" s="553"/>
      <c r="E1127" s="553"/>
      <c r="F1127" s="553"/>
      <c r="G1127" s="554"/>
      <c r="H1127" s="20" t="s">
        <v>856</v>
      </c>
      <c r="I1127" s="561"/>
      <c r="J1127" s="562"/>
      <c r="K1127" s="563" t="s">
        <v>857</v>
      </c>
      <c r="L1127" s="335"/>
      <c r="M1127" s="335"/>
      <c r="N1127" s="336"/>
      <c r="O1127" s="336"/>
      <c r="P1127" s="337"/>
      <c r="Q1127" s="337"/>
      <c r="R1127" s="359"/>
      <c r="S1127" s="360"/>
      <c r="T1127" s="360"/>
      <c r="U1127" s="360"/>
      <c r="V1127" s="200"/>
      <c r="W1127" s="200"/>
      <c r="X1127" s="564"/>
      <c r="Y1127" s="565"/>
      <c r="Z1127" s="565"/>
      <c r="AA1127" s="370" t="e">
        <f t="shared" ca="1" si="692"/>
        <v>#NAME?</v>
      </c>
      <c r="AB1127" s="371"/>
      <c r="AC1127" s="372"/>
      <c r="AD1127" s="372"/>
      <c r="AE1127" s="178"/>
      <c r="AF1127" s="178"/>
      <c r="AG1127" s="178"/>
      <c r="AH1127" s="178"/>
      <c r="AI1127" s="371"/>
      <c r="AJ1127" s="565"/>
      <c r="AK1127" s="171"/>
      <c r="AL1127" s="171"/>
      <c r="AM1127" s="171"/>
      <c r="AN1127" s="360"/>
      <c r="AO1127" s="193"/>
      <c r="AP1127" s="193" t="e">
        <f t="shared" ca="1" si="693"/>
        <v>#NAME?</v>
      </c>
      <c r="AQ1127" s="200"/>
      <c r="AR1127" s="204"/>
      <c r="AS1127" s="204"/>
      <c r="AT1127" s="204"/>
      <c r="AU1127" s="204"/>
      <c r="AV1127" s="204"/>
    </row>
    <row r="1128" spans="1:48" ht="12" customHeight="1">
      <c r="A1128" s="568" t="s">
        <v>858</v>
      </c>
      <c r="B1128" s="437"/>
      <c r="C1128" s="437"/>
      <c r="D1128" s="437"/>
      <c r="E1128" s="437"/>
      <c r="F1128" s="437"/>
      <c r="G1128" s="437"/>
      <c r="H1128" s="438"/>
      <c r="I1128" s="489" t="s">
        <v>859</v>
      </c>
      <c r="J1128" s="490"/>
      <c r="K1128" s="297"/>
      <c r="L1128" s="112">
        <f t="shared" ref="L1128:S1128" si="702">L1129+L1173+L1183+L1192+L1203+L1214</f>
        <v>3110987</v>
      </c>
      <c r="M1128" s="112">
        <f t="shared" si="702"/>
        <v>412898.93158139224</v>
      </c>
      <c r="N1128" s="113">
        <f t="shared" si="702"/>
        <v>1200494</v>
      </c>
      <c r="O1128" s="113">
        <f t="shared" si="702"/>
        <v>159332.93516490809</v>
      </c>
      <c r="P1128" s="114">
        <f t="shared" si="702"/>
        <v>143300</v>
      </c>
      <c r="Q1128" s="114">
        <f t="shared" si="702"/>
        <v>209860</v>
      </c>
      <c r="R1128" s="88">
        <f t="shared" si="702"/>
        <v>207957</v>
      </c>
      <c r="S1128" s="90">
        <f t="shared" si="702"/>
        <v>0</v>
      </c>
      <c r="T1128" s="90"/>
      <c r="U1128" s="90"/>
      <c r="V1128" s="200">
        <f>V1129+V1173+V1183+V1192+V1203+V1214</f>
        <v>237500</v>
      </c>
      <c r="W1128" s="200">
        <f>W1129+W1173+W1183+W1192+W1203+W1214</f>
        <v>237500</v>
      </c>
      <c r="X1128" s="88">
        <f>X1129+X1173+X1183+X1192+X1203+X1214</f>
        <v>476550</v>
      </c>
      <c r="Y1128" s="171">
        <f>Y1129+Y1173+Y1183+Y1192+Y1203+Y1214</f>
        <v>439450</v>
      </c>
      <c r="Z1128" s="171">
        <f>Z1129+Z1173+Z1183+Z1192+Z1203+Z1214</f>
        <v>0</v>
      </c>
      <c r="AA1128" s="370" t="e">
        <f t="shared" ca="1" si="692"/>
        <v>#NAME?</v>
      </c>
      <c r="AB1128" s="171"/>
      <c r="AC1128" s="172">
        <f>AC1129+AC1173+AC1183+AC1192+AC1203+AC1214</f>
        <v>136400</v>
      </c>
      <c r="AD1128" s="172">
        <f>AD1129+AD1173+AD1183+AD1192+AD1203+AD1214</f>
        <v>136400</v>
      </c>
      <c r="AE1128" s="178">
        <f>O1128/M1128*100</f>
        <v>38.588846562200359</v>
      </c>
      <c r="AF1128" s="178">
        <f>P1128/O1128*100</f>
        <v>89.93746324429776</v>
      </c>
      <c r="AG1128" s="178">
        <f>Q1128/P1128*100</f>
        <v>146.4480111653873</v>
      </c>
      <c r="AH1128" s="178">
        <f>AC1128/Q1128*100</f>
        <v>64.995711426665395</v>
      </c>
      <c r="AI1128" s="171"/>
      <c r="AJ1128" s="171">
        <v>439450</v>
      </c>
      <c r="AK1128" s="171">
        <f t="shared" si="687"/>
        <v>114.20630226441044</v>
      </c>
      <c r="AL1128" s="171">
        <f t="shared" si="688"/>
        <v>200.65263157894736</v>
      </c>
      <c r="AM1128" s="171">
        <f t="shared" si="688"/>
        <v>92.214877767285699</v>
      </c>
      <c r="AN1128" s="90"/>
      <c r="AO1128" s="193"/>
      <c r="AP1128" s="193" t="e">
        <f t="shared" ca="1" si="693"/>
        <v>#NAME?</v>
      </c>
      <c r="AQ1128" s="200">
        <f>AQ1129+AQ1173+AQ1183+AQ1192+AQ1203+AQ1214</f>
        <v>218022</v>
      </c>
      <c r="AR1128" s="204">
        <f t="shared" si="697"/>
        <v>114.20630226441044</v>
      </c>
      <c r="AS1128" s="204">
        <f t="shared" si="698"/>
        <v>100</v>
      </c>
      <c r="AT1128" s="204">
        <f t="shared" si="699"/>
        <v>114.20630226441044</v>
      </c>
      <c r="AU1128" s="204">
        <f t="shared" si="700"/>
        <v>91.798736842105271</v>
      </c>
      <c r="AV1128" s="204">
        <f t="shared" si="701"/>
        <v>104.83994287280542</v>
      </c>
    </row>
    <row r="1129" spans="1:48" ht="12" customHeight="1">
      <c r="A1129" s="390" t="s">
        <v>331</v>
      </c>
      <c r="B1129" s="391"/>
      <c r="C1129" s="391"/>
      <c r="D1129" s="391"/>
      <c r="E1129" s="391"/>
      <c r="F1129" s="391"/>
      <c r="G1129" s="391"/>
      <c r="H1129" s="392"/>
      <c r="I1129" s="485" t="s">
        <v>827</v>
      </c>
      <c r="J1129" s="486"/>
      <c r="K1129" s="300"/>
      <c r="L1129" s="112">
        <f t="shared" ref="L1129:S1129" si="703">L1131</f>
        <v>532237</v>
      </c>
      <c r="M1129" s="112">
        <f t="shared" si="703"/>
        <v>70639.989382175336</v>
      </c>
      <c r="N1129" s="113">
        <f t="shared" si="703"/>
        <v>413411</v>
      </c>
      <c r="O1129" s="113">
        <f t="shared" si="703"/>
        <v>54869.068949498971</v>
      </c>
      <c r="P1129" s="114">
        <f t="shared" si="703"/>
        <v>102400</v>
      </c>
      <c r="Q1129" s="114">
        <f t="shared" si="703"/>
        <v>108500</v>
      </c>
      <c r="R1129" s="88">
        <f t="shared" si="703"/>
        <v>107104</v>
      </c>
      <c r="S1129" s="90">
        <f t="shared" si="703"/>
        <v>0</v>
      </c>
      <c r="T1129" s="90"/>
      <c r="U1129" s="90"/>
      <c r="V1129" s="200">
        <f>V1131</f>
        <v>171500</v>
      </c>
      <c r="W1129" s="200">
        <f>W1131</f>
        <v>171500</v>
      </c>
      <c r="X1129" s="88">
        <f>X1131</f>
        <v>236550</v>
      </c>
      <c r="Y1129" s="171">
        <f>Y1131</f>
        <v>248450</v>
      </c>
      <c r="Z1129" s="171">
        <f>Z1131</f>
        <v>0</v>
      </c>
      <c r="AA1129" s="370" t="e">
        <f t="shared" ca="1" si="692"/>
        <v>#NAME?</v>
      </c>
      <c r="AB1129" s="171"/>
      <c r="AC1129" s="172">
        <f>AC1131</f>
        <v>104400</v>
      </c>
      <c r="AD1129" s="172">
        <f>AD1131</f>
        <v>104400</v>
      </c>
      <c r="AE1129" s="178">
        <f>O1129/M1129*100</f>
        <v>77.674231592316943</v>
      </c>
      <c r="AF1129" s="178">
        <f>P1129/O1129*100</f>
        <v>186.62609364530698</v>
      </c>
      <c r="AG1129" s="178">
        <f>Q1129/P1129*100</f>
        <v>105.95703125</v>
      </c>
      <c r="AH1129" s="178">
        <f>AC1129/Q1129*100</f>
        <v>96.221198156682036</v>
      </c>
      <c r="AI1129" s="171"/>
      <c r="AJ1129" s="171">
        <v>248450</v>
      </c>
      <c r="AK1129" s="171">
        <f t="shared" si="687"/>
        <v>160.12473857185537</v>
      </c>
      <c r="AL1129" s="171">
        <f t="shared" si="688"/>
        <v>137.93002915451896</v>
      </c>
      <c r="AM1129" s="171">
        <f t="shared" si="688"/>
        <v>105.03064891143521</v>
      </c>
      <c r="AN1129" s="90"/>
      <c r="AO1129" s="193"/>
      <c r="AP1129" s="193" t="e">
        <f t="shared" ca="1" si="693"/>
        <v>#NAME?</v>
      </c>
      <c r="AQ1129" s="200">
        <f>AQ1131</f>
        <v>153274</v>
      </c>
      <c r="AR1129" s="204">
        <f t="shared" si="697"/>
        <v>160.12473857185537</v>
      </c>
      <c r="AS1129" s="204">
        <f t="shared" si="698"/>
        <v>100</v>
      </c>
      <c r="AT1129" s="204">
        <f t="shared" si="699"/>
        <v>160.12473857185537</v>
      </c>
      <c r="AU1129" s="204">
        <f t="shared" si="700"/>
        <v>89.372594752186586</v>
      </c>
      <c r="AV1129" s="204">
        <f t="shared" si="701"/>
        <v>143.10763370182252</v>
      </c>
    </row>
    <row r="1130" spans="1:48" ht="12" customHeight="1">
      <c r="A1130" s="69"/>
      <c r="B1130" s="69"/>
      <c r="C1130" s="69"/>
      <c r="D1130" s="69"/>
      <c r="E1130" s="69"/>
      <c r="F1130" s="69"/>
      <c r="G1130" s="69"/>
      <c r="H1130" s="436"/>
      <c r="I1130" s="3"/>
      <c r="J1130" s="7"/>
      <c r="K1130" s="7"/>
      <c r="L1130" s="217"/>
      <c r="M1130" s="217"/>
      <c r="N1130" s="218"/>
      <c r="O1130" s="218"/>
      <c r="P1130" s="219"/>
      <c r="Q1130" s="219"/>
      <c r="R1130" s="282"/>
      <c r="S1130" s="222"/>
      <c r="T1130" s="222"/>
      <c r="U1130" s="222"/>
      <c r="V1130" s="200"/>
      <c r="W1130" s="200"/>
      <c r="X1130" s="167"/>
      <c r="Y1130" s="424"/>
      <c r="Z1130" s="424"/>
      <c r="AA1130" s="370" t="e">
        <f t="shared" ca="1" si="692"/>
        <v>#NAME?</v>
      </c>
      <c r="AB1130" s="223"/>
      <c r="AC1130" s="224"/>
      <c r="AD1130" s="224"/>
      <c r="AE1130" s="178"/>
      <c r="AF1130" s="178"/>
      <c r="AG1130" s="178"/>
      <c r="AH1130" s="178"/>
      <c r="AI1130" s="223"/>
      <c r="AJ1130" s="424"/>
      <c r="AK1130" s="171"/>
      <c r="AL1130" s="171"/>
      <c r="AM1130" s="171"/>
      <c r="AN1130" s="222"/>
      <c r="AO1130" s="193"/>
      <c r="AP1130" s="193" t="e">
        <f t="shared" ca="1" si="693"/>
        <v>#NAME?</v>
      </c>
      <c r="AQ1130" s="200"/>
      <c r="AR1130" s="204"/>
      <c r="AS1130" s="204"/>
      <c r="AT1130" s="204"/>
      <c r="AU1130" s="204"/>
      <c r="AV1130" s="204"/>
    </row>
    <row r="1131" spans="1:48" ht="12" customHeight="1">
      <c r="A1131" s="24"/>
      <c r="B1131" s="24"/>
      <c r="C1131" s="24"/>
      <c r="D1131" s="24"/>
      <c r="E1131" s="24"/>
      <c r="F1131" s="24"/>
      <c r="G1131" s="24"/>
      <c r="H1131" s="393"/>
      <c r="I1131" s="465"/>
      <c r="J1131" s="281">
        <v>3</v>
      </c>
      <c r="K1131" s="2" t="s">
        <v>224</v>
      </c>
      <c r="L1131" s="112">
        <f t="shared" ref="L1131:S1131" si="704">L1132+L1144+L1169</f>
        <v>532237</v>
      </c>
      <c r="M1131" s="112">
        <f t="shared" si="704"/>
        <v>70639.989382175336</v>
      </c>
      <c r="N1131" s="113">
        <f t="shared" si="704"/>
        <v>413411</v>
      </c>
      <c r="O1131" s="113">
        <f t="shared" si="704"/>
        <v>54869.068949498971</v>
      </c>
      <c r="P1131" s="114">
        <f t="shared" si="704"/>
        <v>102400</v>
      </c>
      <c r="Q1131" s="114">
        <f t="shared" si="704"/>
        <v>108500</v>
      </c>
      <c r="R1131" s="88">
        <f t="shared" si="704"/>
        <v>107104</v>
      </c>
      <c r="S1131" s="90">
        <f t="shared" si="704"/>
        <v>0</v>
      </c>
      <c r="T1131" s="90"/>
      <c r="U1131" s="90"/>
      <c r="V1131" s="200">
        <f>V1132+V1144+V1169</f>
        <v>171500</v>
      </c>
      <c r="W1131" s="200">
        <f>W1132+W1144+W1169</f>
        <v>171500</v>
      </c>
      <c r="X1131" s="88">
        <f>X1132+X1144+X1169</f>
        <v>236550</v>
      </c>
      <c r="Y1131" s="171">
        <f>Y1132+Y1144+Y1169</f>
        <v>248450</v>
      </c>
      <c r="Z1131" s="171">
        <f>Z1132+Z1144+Z1169</f>
        <v>0</v>
      </c>
      <c r="AA1131" s="370" t="e">
        <f t="shared" ca="1" si="692"/>
        <v>#NAME?</v>
      </c>
      <c r="AB1131" s="171"/>
      <c r="AC1131" s="172">
        <f>AC1132+AC1144+AC1169</f>
        <v>104400</v>
      </c>
      <c r="AD1131" s="172">
        <f>AD1132+AD1144+AD1169</f>
        <v>104400</v>
      </c>
      <c r="AE1131" s="178">
        <f>O1131/M1131*100</f>
        <v>77.674231592316943</v>
      </c>
      <c r="AF1131" s="178">
        <f>P1131/O1131*100</f>
        <v>186.62609364530698</v>
      </c>
      <c r="AG1131" s="178">
        <f>Q1131/P1131*100</f>
        <v>105.95703125</v>
      </c>
      <c r="AH1131" s="178">
        <f>AC1131/Q1131*100</f>
        <v>96.221198156682036</v>
      </c>
      <c r="AI1131" s="171"/>
      <c r="AJ1131" s="171">
        <v>248450</v>
      </c>
      <c r="AK1131" s="171">
        <f t="shared" si="687"/>
        <v>160.12473857185537</v>
      </c>
      <c r="AL1131" s="171">
        <f t="shared" si="688"/>
        <v>137.93002915451896</v>
      </c>
      <c r="AM1131" s="171">
        <f t="shared" si="688"/>
        <v>105.03064891143521</v>
      </c>
      <c r="AN1131" s="90"/>
      <c r="AO1131" s="193"/>
      <c r="AP1131" s="193" t="e">
        <f t="shared" ca="1" si="693"/>
        <v>#NAME?</v>
      </c>
      <c r="AQ1131" s="200">
        <v>153274</v>
      </c>
      <c r="AR1131" s="204">
        <f t="shared" si="697"/>
        <v>160.12473857185537</v>
      </c>
      <c r="AS1131" s="204">
        <f t="shared" si="698"/>
        <v>100</v>
      </c>
      <c r="AT1131" s="204">
        <f t="shared" si="699"/>
        <v>160.12473857185537</v>
      </c>
      <c r="AU1131" s="204">
        <f t="shared" si="700"/>
        <v>89.372594752186586</v>
      </c>
      <c r="AV1131" s="204">
        <f t="shared" si="701"/>
        <v>143.10763370182252</v>
      </c>
    </row>
    <row r="1132" spans="1:48" ht="12" customHeight="1">
      <c r="A1132" s="301"/>
      <c r="B1132" s="301"/>
      <c r="C1132" s="301"/>
      <c r="D1132" s="301"/>
      <c r="E1132" s="301"/>
      <c r="F1132" s="301"/>
      <c r="G1132" s="301"/>
      <c r="H1132" s="307"/>
      <c r="I1132" s="350"/>
      <c r="J1132" s="302">
        <v>31</v>
      </c>
      <c r="K1132" s="343" t="s">
        <v>225</v>
      </c>
      <c r="L1132" s="112">
        <f t="shared" ref="L1132:S1132" si="705">L1134+L1137+L1140</f>
        <v>313232</v>
      </c>
      <c r="M1132" s="112">
        <f t="shared" si="705"/>
        <v>41573.030725330151</v>
      </c>
      <c r="N1132" s="113">
        <f t="shared" si="705"/>
        <v>290144</v>
      </c>
      <c r="O1132" s="113">
        <f t="shared" si="705"/>
        <v>38508.726524653262</v>
      </c>
      <c r="P1132" s="114">
        <f t="shared" si="705"/>
        <v>73800</v>
      </c>
      <c r="Q1132" s="114">
        <f t="shared" si="705"/>
        <v>75500</v>
      </c>
      <c r="R1132" s="88">
        <f t="shared" si="705"/>
        <v>74897</v>
      </c>
      <c r="S1132" s="90">
        <f t="shared" si="705"/>
        <v>0</v>
      </c>
      <c r="T1132" s="90"/>
      <c r="U1132" s="90"/>
      <c r="V1132" s="200">
        <f>V1134+V1137+V1140</f>
        <v>71000</v>
      </c>
      <c r="W1132" s="200">
        <f>W1134+W1137+W1140</f>
        <v>71000</v>
      </c>
      <c r="X1132" s="88">
        <f>X1134+X1137+X1140</f>
        <v>121200</v>
      </c>
      <c r="Y1132" s="171">
        <f>Y1134+Y1137+Y1140</f>
        <v>131500</v>
      </c>
      <c r="Z1132" s="171">
        <f>Z1134+Z1137+Z1140</f>
        <v>0</v>
      </c>
      <c r="AA1132" s="370" t="e">
        <f t="shared" ca="1" si="692"/>
        <v>#NAME?</v>
      </c>
      <c r="AB1132" s="171"/>
      <c r="AC1132" s="172">
        <f>AC1134+AC1137+AC1140</f>
        <v>74600</v>
      </c>
      <c r="AD1132" s="172">
        <f>AD1134+AD1137+AD1140</f>
        <v>74600</v>
      </c>
      <c r="AE1132" s="178">
        <f>O1132/M1132*100</f>
        <v>92.629105583082179</v>
      </c>
      <c r="AF1132" s="178">
        <f>P1132/O1132*100</f>
        <v>191.64487289070254</v>
      </c>
      <c r="AG1132" s="178">
        <f>Q1132/P1132*100</f>
        <v>102.30352303523036</v>
      </c>
      <c r="AH1132" s="178">
        <f>AC1132/Q1132*100</f>
        <v>98.807947019867555</v>
      </c>
      <c r="AI1132" s="171"/>
      <c r="AJ1132" s="171">
        <v>131500</v>
      </c>
      <c r="AK1132" s="171">
        <f t="shared" si="687"/>
        <v>94.796854346636053</v>
      </c>
      <c r="AL1132" s="171">
        <f t="shared" si="688"/>
        <v>170.70422535211267</v>
      </c>
      <c r="AM1132" s="171">
        <f t="shared" si="688"/>
        <v>108.4983498349835</v>
      </c>
      <c r="AN1132" s="90"/>
      <c r="AO1132" s="193"/>
      <c r="AP1132" s="193" t="e">
        <f t="shared" ca="1" si="693"/>
        <v>#NAME?</v>
      </c>
      <c r="AQ1132" s="200">
        <v>70381</v>
      </c>
      <c r="AR1132" s="204">
        <f t="shared" si="697"/>
        <v>94.796854346636053</v>
      </c>
      <c r="AS1132" s="204">
        <f t="shared" si="698"/>
        <v>100</v>
      </c>
      <c r="AT1132" s="204">
        <f t="shared" si="699"/>
        <v>94.796854346636053</v>
      </c>
      <c r="AU1132" s="204">
        <f t="shared" si="700"/>
        <v>99.128169014084506</v>
      </c>
      <c r="AV1132" s="204">
        <f t="shared" si="701"/>
        <v>93.970385996768897</v>
      </c>
    </row>
    <row r="1133" spans="1:48" ht="12" customHeight="1">
      <c r="A1133" s="24"/>
      <c r="B1133" s="24"/>
      <c r="C1133" s="24"/>
      <c r="D1133" s="24"/>
      <c r="E1133" s="24"/>
      <c r="F1133" s="24"/>
      <c r="G1133" s="24"/>
      <c r="H1133" s="393"/>
      <c r="I1133" s="465"/>
      <c r="J1133" s="281"/>
      <c r="K1133" s="2"/>
      <c r="L1133" s="112"/>
      <c r="M1133" s="112"/>
      <c r="N1133" s="113"/>
      <c r="O1133" s="113"/>
      <c r="P1133" s="114"/>
      <c r="Q1133" s="114"/>
      <c r="R1133" s="88"/>
      <c r="S1133" s="90"/>
      <c r="T1133" s="90"/>
      <c r="U1133" s="90"/>
      <c r="V1133" s="200"/>
      <c r="W1133" s="200"/>
      <c r="X1133" s="167"/>
      <c r="Y1133" s="370"/>
      <c r="Z1133" s="370"/>
      <c r="AA1133" s="370" t="e">
        <f t="shared" ca="1" si="692"/>
        <v>#NAME?</v>
      </c>
      <c r="AB1133" s="171"/>
      <c r="AC1133" s="172"/>
      <c r="AD1133" s="172"/>
      <c r="AE1133" s="178"/>
      <c r="AF1133" s="178"/>
      <c r="AG1133" s="178"/>
      <c r="AH1133" s="178"/>
      <c r="AI1133" s="171"/>
      <c r="AJ1133" s="370"/>
      <c r="AK1133" s="171"/>
      <c r="AL1133" s="171"/>
      <c r="AM1133" s="171"/>
      <c r="AN1133" s="90"/>
      <c r="AO1133" s="193"/>
      <c r="AP1133" s="193" t="e">
        <f t="shared" ca="1" si="693"/>
        <v>#NAME?</v>
      </c>
      <c r="AQ1133" s="200"/>
      <c r="AR1133" s="204"/>
      <c r="AS1133" s="204"/>
      <c r="AT1133" s="204"/>
      <c r="AU1133" s="204"/>
      <c r="AV1133" s="204"/>
    </row>
    <row r="1134" spans="1:48" ht="12" customHeight="1">
      <c r="A1134" s="62"/>
      <c r="B1134" s="62"/>
      <c r="C1134" s="62"/>
      <c r="D1134" s="62"/>
      <c r="E1134" s="62"/>
      <c r="F1134" s="62"/>
      <c r="G1134" s="62"/>
      <c r="H1134" s="304"/>
      <c r="I1134" s="464"/>
      <c r="J1134" s="303">
        <v>311</v>
      </c>
      <c r="K1134" s="19" t="s">
        <v>333</v>
      </c>
      <c r="L1134" s="112">
        <f t="shared" ref="L1134:Z1134" si="706">L1135</f>
        <v>267152</v>
      </c>
      <c r="M1134" s="112">
        <f t="shared" si="706"/>
        <v>35457.163713584181</v>
      </c>
      <c r="N1134" s="113">
        <f t="shared" si="706"/>
        <v>245188</v>
      </c>
      <c r="O1134" s="113">
        <f t="shared" si="706"/>
        <v>32542.039949565333</v>
      </c>
      <c r="P1134" s="114">
        <f t="shared" si="706"/>
        <v>62400</v>
      </c>
      <c r="Q1134" s="114">
        <f t="shared" si="706"/>
        <v>64000</v>
      </c>
      <c r="R1134" s="88">
        <f t="shared" si="706"/>
        <v>63517</v>
      </c>
      <c r="S1134" s="90">
        <f t="shared" si="706"/>
        <v>0</v>
      </c>
      <c r="T1134" s="90"/>
      <c r="U1134" s="90"/>
      <c r="V1134" s="200">
        <f>V1135</f>
        <v>60000</v>
      </c>
      <c r="W1134" s="200">
        <f t="shared" si="706"/>
        <v>60000</v>
      </c>
      <c r="X1134" s="88">
        <f t="shared" si="706"/>
        <v>98000</v>
      </c>
      <c r="Y1134" s="171">
        <f t="shared" si="706"/>
        <v>106000</v>
      </c>
      <c r="Z1134" s="171">
        <f t="shared" si="706"/>
        <v>0</v>
      </c>
      <c r="AA1134" s="370" t="e">
        <f t="shared" ca="1" si="692"/>
        <v>#NAME?</v>
      </c>
      <c r="AB1134" s="171"/>
      <c r="AC1134" s="172">
        <f>AC1135</f>
        <v>63000</v>
      </c>
      <c r="AD1134" s="172">
        <f>AD1135</f>
        <v>63000</v>
      </c>
      <c r="AE1134" s="178">
        <f>O1134/M1134*100</f>
        <v>91.778463196981491</v>
      </c>
      <c r="AF1134" s="178">
        <f>P1134/O1134*100</f>
        <v>191.75196175995563</v>
      </c>
      <c r="AG1134" s="178">
        <f>Q1134/P1134*100</f>
        <v>102.56410256410255</v>
      </c>
      <c r="AH1134" s="178">
        <f>AC1134/Q1134*100</f>
        <v>98.4375</v>
      </c>
      <c r="AI1134" s="171"/>
      <c r="AJ1134" s="171">
        <v>106000</v>
      </c>
      <c r="AK1134" s="171">
        <f t="shared" si="687"/>
        <v>94.462899696144348</v>
      </c>
      <c r="AL1134" s="171">
        <f t="shared" si="688"/>
        <v>163.33333333333334</v>
      </c>
      <c r="AM1134" s="171">
        <f t="shared" si="688"/>
        <v>108.16326530612245</v>
      </c>
      <c r="AN1134" s="90"/>
      <c r="AO1134" s="193"/>
      <c r="AP1134" s="193" t="e">
        <f t="shared" ca="1" si="693"/>
        <v>#NAME?</v>
      </c>
      <c r="AQ1134" s="200">
        <v>59211</v>
      </c>
      <c r="AR1134" s="204">
        <f t="shared" si="697"/>
        <v>94.462899696144348</v>
      </c>
      <c r="AS1134" s="204">
        <f t="shared" si="698"/>
        <v>100</v>
      </c>
      <c r="AT1134" s="204">
        <f t="shared" si="699"/>
        <v>94.462899696144348</v>
      </c>
      <c r="AU1134" s="204">
        <f t="shared" si="700"/>
        <v>98.685000000000002</v>
      </c>
      <c r="AV1134" s="204">
        <f t="shared" si="701"/>
        <v>93.220712565140047</v>
      </c>
    </row>
    <row r="1135" spans="1:48" ht="12" customHeight="1">
      <c r="A1135" s="53"/>
      <c r="B1135" s="53"/>
      <c r="C1135" s="53"/>
      <c r="D1135" s="53"/>
      <c r="E1135" s="53"/>
      <c r="F1135" s="53"/>
      <c r="G1135" s="53"/>
      <c r="H1135" s="1">
        <v>210</v>
      </c>
      <c r="I1135" s="397">
        <v>820</v>
      </c>
      <c r="J1135" s="229">
        <v>3111</v>
      </c>
      <c r="K1135" s="18" t="s">
        <v>227</v>
      </c>
      <c r="L1135" s="130">
        <v>267152</v>
      </c>
      <c r="M1135" s="130">
        <f>267152/7.5345</f>
        <v>35457.163713584181</v>
      </c>
      <c r="N1135" s="131">
        <v>245188</v>
      </c>
      <c r="O1135" s="131">
        <f>N1135/7.5345</f>
        <v>32542.039949565333</v>
      </c>
      <c r="P1135" s="132">
        <v>62400</v>
      </c>
      <c r="Q1135" s="163">
        <v>64000</v>
      </c>
      <c r="R1135" s="159">
        <v>63517</v>
      </c>
      <c r="S1135" s="165"/>
      <c r="T1135" s="165"/>
      <c r="U1135" s="165"/>
      <c r="V1135" s="200">
        <v>60000</v>
      </c>
      <c r="W1135" s="200">
        <v>60000</v>
      </c>
      <c r="X1135" s="164">
        <v>98000</v>
      </c>
      <c r="Y1135" s="378">
        <v>106000</v>
      </c>
      <c r="Z1135" s="378"/>
      <c r="AA1135" s="370" t="e">
        <f t="shared" ca="1" si="692"/>
        <v>#NAME?</v>
      </c>
      <c r="AB1135" s="183"/>
      <c r="AC1135" s="178">
        <v>63000</v>
      </c>
      <c r="AD1135" s="178">
        <v>63000</v>
      </c>
      <c r="AE1135" s="178">
        <f>O1135/M1135*100</f>
        <v>91.778463196981491</v>
      </c>
      <c r="AF1135" s="178">
        <f>P1135/O1135*100</f>
        <v>191.75196175995563</v>
      </c>
      <c r="AG1135" s="178">
        <f>Q1135/P1135*100</f>
        <v>102.56410256410255</v>
      </c>
      <c r="AH1135" s="178">
        <f>AC1135/Q1135*100</f>
        <v>98.4375</v>
      </c>
      <c r="AI1135" s="183"/>
      <c r="AJ1135" s="378">
        <v>106000</v>
      </c>
      <c r="AK1135" s="171">
        <f t="shared" si="687"/>
        <v>94.462899696144348</v>
      </c>
      <c r="AL1135" s="171">
        <f t="shared" si="688"/>
        <v>163.33333333333334</v>
      </c>
      <c r="AM1135" s="171">
        <f t="shared" si="688"/>
        <v>108.16326530612245</v>
      </c>
      <c r="AN1135" s="165"/>
      <c r="AO1135" s="193"/>
      <c r="AP1135" s="193" t="e">
        <f t="shared" ca="1" si="693"/>
        <v>#NAME?</v>
      </c>
      <c r="AQ1135" s="200">
        <v>59211</v>
      </c>
      <c r="AR1135" s="204">
        <f t="shared" si="697"/>
        <v>94.462899696144348</v>
      </c>
      <c r="AS1135" s="204">
        <f t="shared" si="698"/>
        <v>100</v>
      </c>
      <c r="AT1135" s="204">
        <f t="shared" si="699"/>
        <v>94.462899696144348</v>
      </c>
      <c r="AU1135" s="204">
        <f t="shared" si="700"/>
        <v>98.685000000000002</v>
      </c>
      <c r="AV1135" s="204">
        <f t="shared" si="701"/>
        <v>93.220712565140047</v>
      </c>
    </row>
    <row r="1136" spans="1:48" ht="12" customHeight="1">
      <c r="A1136" s="42"/>
      <c r="B1136" s="42"/>
      <c r="C1136" s="42"/>
      <c r="D1136" s="42"/>
      <c r="E1136" s="42"/>
      <c r="F1136" s="42"/>
      <c r="G1136" s="42"/>
      <c r="H1136" s="308"/>
      <c r="I1136" s="14"/>
      <c r="J1136" s="2"/>
      <c r="K1136" s="84"/>
      <c r="L1136" s="85"/>
      <c r="M1136" s="85"/>
      <c r="N1136" s="86"/>
      <c r="O1136" s="86"/>
      <c r="P1136" s="87"/>
      <c r="Q1136" s="87"/>
      <c r="R1136" s="160"/>
      <c r="S1136" s="161"/>
      <c r="T1136" s="161"/>
      <c r="U1136" s="161"/>
      <c r="V1136" s="200"/>
      <c r="W1136" s="200"/>
      <c r="X1136" s="361"/>
      <c r="Y1136" s="373"/>
      <c r="Z1136" s="373"/>
      <c r="AA1136" s="370" t="e">
        <f t="shared" ca="1" si="692"/>
        <v>#NAME?</v>
      </c>
      <c r="AB1136" s="181"/>
      <c r="AC1136" s="182"/>
      <c r="AD1136" s="182"/>
      <c r="AE1136" s="178"/>
      <c r="AF1136" s="178"/>
      <c r="AG1136" s="178"/>
      <c r="AH1136" s="178"/>
      <c r="AI1136" s="181"/>
      <c r="AJ1136" s="373"/>
      <c r="AK1136" s="171"/>
      <c r="AL1136" s="171"/>
      <c r="AM1136" s="171"/>
      <c r="AN1136" s="161"/>
      <c r="AO1136" s="193"/>
      <c r="AP1136" s="193" t="e">
        <f t="shared" ca="1" si="693"/>
        <v>#NAME?</v>
      </c>
      <c r="AQ1136" s="200"/>
      <c r="AR1136" s="204"/>
      <c r="AS1136" s="204"/>
      <c r="AT1136" s="204"/>
      <c r="AU1136" s="204"/>
      <c r="AV1136" s="204"/>
    </row>
    <row r="1137" spans="1:48" ht="12" customHeight="1">
      <c r="A1137" s="62"/>
      <c r="B1137" s="62"/>
      <c r="C1137" s="62"/>
      <c r="D1137" s="62"/>
      <c r="E1137" s="62"/>
      <c r="F1137" s="62"/>
      <c r="G1137" s="62"/>
      <c r="H1137" s="304"/>
      <c r="I1137" s="464"/>
      <c r="J1137" s="303">
        <v>312</v>
      </c>
      <c r="K1137" s="19" t="s">
        <v>337</v>
      </c>
      <c r="L1137" s="112">
        <f t="shared" ref="L1137:Z1137" si="707">L1138</f>
        <v>2000</v>
      </c>
      <c r="M1137" s="112">
        <f t="shared" si="707"/>
        <v>265.44561682925212</v>
      </c>
      <c r="N1137" s="113">
        <f t="shared" si="707"/>
        <v>4500</v>
      </c>
      <c r="O1137" s="113">
        <f t="shared" si="707"/>
        <v>597.25263786581718</v>
      </c>
      <c r="P1137" s="114">
        <f t="shared" si="707"/>
        <v>1100</v>
      </c>
      <c r="Q1137" s="114">
        <f t="shared" si="707"/>
        <v>900</v>
      </c>
      <c r="R1137" s="88">
        <f t="shared" si="707"/>
        <v>900</v>
      </c>
      <c r="S1137" s="90">
        <f t="shared" si="707"/>
        <v>0</v>
      </c>
      <c r="T1137" s="90"/>
      <c r="U1137" s="90"/>
      <c r="V1137" s="200">
        <f>V1138</f>
        <v>1200</v>
      </c>
      <c r="W1137" s="200">
        <f t="shared" si="707"/>
        <v>1200</v>
      </c>
      <c r="X1137" s="88">
        <f t="shared" si="707"/>
        <v>7000</v>
      </c>
      <c r="Y1137" s="171">
        <f t="shared" si="707"/>
        <v>8000</v>
      </c>
      <c r="Z1137" s="171">
        <f t="shared" si="707"/>
        <v>0</v>
      </c>
      <c r="AA1137" s="370" t="e">
        <f t="shared" ca="1" si="692"/>
        <v>#NAME?</v>
      </c>
      <c r="AB1137" s="171"/>
      <c r="AC1137" s="172">
        <f>AC1138</f>
        <v>1200</v>
      </c>
      <c r="AD1137" s="172">
        <f>AD1138</f>
        <v>1200</v>
      </c>
      <c r="AE1137" s="178">
        <f>O1137/M1137*100</f>
        <v>224.99999999999994</v>
      </c>
      <c r="AF1137" s="178">
        <f>P1137/O1137*100</f>
        <v>184.17666666666668</v>
      </c>
      <c r="AG1137" s="178">
        <f>Q1137/P1137*100</f>
        <v>81.818181818181827</v>
      </c>
      <c r="AH1137" s="178">
        <f>AC1137/Q1137*100</f>
        <v>133.33333333333331</v>
      </c>
      <c r="AI1137" s="171"/>
      <c r="AJ1137" s="171">
        <v>8000</v>
      </c>
      <c r="AK1137" s="171">
        <f t="shared" si="687"/>
        <v>133.33333333333331</v>
      </c>
      <c r="AL1137" s="171">
        <f t="shared" si="688"/>
        <v>583.33333333333326</v>
      </c>
      <c r="AM1137" s="171">
        <f t="shared" si="688"/>
        <v>114.28571428571428</v>
      </c>
      <c r="AN1137" s="90"/>
      <c r="AO1137" s="193"/>
      <c r="AP1137" s="193" t="e">
        <f t="shared" ca="1" si="693"/>
        <v>#NAME?</v>
      </c>
      <c r="AQ1137" s="200">
        <f>AQ1138</f>
        <v>1400</v>
      </c>
      <c r="AR1137" s="204">
        <f t="shared" si="697"/>
        <v>133.33333333333331</v>
      </c>
      <c r="AS1137" s="204">
        <f t="shared" si="698"/>
        <v>100</v>
      </c>
      <c r="AT1137" s="204">
        <f t="shared" si="699"/>
        <v>133.33333333333331</v>
      </c>
      <c r="AU1137" s="204">
        <f t="shared" si="700"/>
        <v>116.66666666666667</v>
      </c>
      <c r="AV1137" s="204">
        <f t="shared" si="701"/>
        <v>155.55555555555557</v>
      </c>
    </row>
    <row r="1138" spans="1:48" ht="12" customHeight="1">
      <c r="A1138" s="53"/>
      <c r="B1138" s="53"/>
      <c r="C1138" s="53"/>
      <c r="D1138" s="53"/>
      <c r="E1138" s="53"/>
      <c r="F1138" s="53"/>
      <c r="G1138" s="53"/>
      <c r="H1138" s="1">
        <v>211</v>
      </c>
      <c r="I1138" s="397">
        <v>820</v>
      </c>
      <c r="J1138" s="229">
        <v>3121</v>
      </c>
      <c r="K1138" s="18" t="s">
        <v>229</v>
      </c>
      <c r="L1138" s="130">
        <v>2000</v>
      </c>
      <c r="M1138" s="130">
        <f>2000/7.5345</f>
        <v>265.44561682925212</v>
      </c>
      <c r="N1138" s="131">
        <v>4500</v>
      </c>
      <c r="O1138" s="131">
        <f>N1138/7.5345</f>
        <v>597.25263786581718</v>
      </c>
      <c r="P1138" s="132">
        <v>1100</v>
      </c>
      <c r="Q1138" s="163">
        <v>900</v>
      </c>
      <c r="R1138" s="159">
        <v>900</v>
      </c>
      <c r="S1138" s="165"/>
      <c r="T1138" s="165"/>
      <c r="U1138" s="165"/>
      <c r="V1138" s="200">
        <v>1200</v>
      </c>
      <c r="W1138" s="200">
        <v>1200</v>
      </c>
      <c r="X1138" s="164">
        <v>7000</v>
      </c>
      <c r="Y1138" s="378">
        <v>8000</v>
      </c>
      <c r="Z1138" s="378"/>
      <c r="AA1138" s="370" t="e">
        <f t="shared" ca="1" si="692"/>
        <v>#NAME?</v>
      </c>
      <c r="AB1138" s="183"/>
      <c r="AC1138" s="178">
        <v>1200</v>
      </c>
      <c r="AD1138" s="178">
        <v>1200</v>
      </c>
      <c r="AE1138" s="178">
        <f>O1138/M1138*100</f>
        <v>224.99999999999994</v>
      </c>
      <c r="AF1138" s="178">
        <f>P1138/O1138*100</f>
        <v>184.17666666666668</v>
      </c>
      <c r="AG1138" s="178">
        <f>Q1138/P1138*100</f>
        <v>81.818181818181827</v>
      </c>
      <c r="AH1138" s="178">
        <f>AC1138/Q1138*100</f>
        <v>133.33333333333331</v>
      </c>
      <c r="AI1138" s="183"/>
      <c r="AJ1138" s="378">
        <v>8000</v>
      </c>
      <c r="AK1138" s="171">
        <f t="shared" si="687"/>
        <v>133.33333333333331</v>
      </c>
      <c r="AL1138" s="171">
        <f t="shared" si="688"/>
        <v>583.33333333333326</v>
      </c>
      <c r="AM1138" s="171">
        <f t="shared" si="688"/>
        <v>114.28571428571428</v>
      </c>
      <c r="AN1138" s="165"/>
      <c r="AO1138" s="193"/>
      <c r="AP1138" s="193" t="e">
        <f t="shared" ca="1" si="693"/>
        <v>#NAME?</v>
      </c>
      <c r="AQ1138" s="200">
        <v>1400</v>
      </c>
      <c r="AR1138" s="204">
        <f t="shared" si="697"/>
        <v>133.33333333333331</v>
      </c>
      <c r="AS1138" s="204">
        <f t="shared" si="698"/>
        <v>100</v>
      </c>
      <c r="AT1138" s="204">
        <f t="shared" si="699"/>
        <v>133.33333333333331</v>
      </c>
      <c r="AU1138" s="204">
        <f t="shared" si="700"/>
        <v>116.66666666666667</v>
      </c>
      <c r="AV1138" s="204">
        <f t="shared" si="701"/>
        <v>155.55555555555557</v>
      </c>
    </row>
    <row r="1139" spans="1:48" ht="12" customHeight="1">
      <c r="A1139" s="53"/>
      <c r="B1139" s="53"/>
      <c r="C1139" s="53"/>
      <c r="D1139" s="53"/>
      <c r="E1139" s="53"/>
      <c r="F1139" s="53"/>
      <c r="G1139" s="53"/>
      <c r="H1139" s="1"/>
      <c r="I1139" s="397"/>
      <c r="J1139" s="229"/>
      <c r="K1139" s="18"/>
      <c r="L1139" s="119"/>
      <c r="M1139" s="119"/>
      <c r="N1139" s="120"/>
      <c r="O1139" s="120"/>
      <c r="P1139" s="121"/>
      <c r="Q1139" s="121"/>
      <c r="R1139" s="157"/>
      <c r="S1139" s="158"/>
      <c r="T1139" s="158"/>
      <c r="U1139" s="158"/>
      <c r="V1139" s="200"/>
      <c r="W1139" s="200"/>
      <c r="X1139" s="164"/>
      <c r="Y1139" s="369"/>
      <c r="Z1139" s="369"/>
      <c r="AA1139" s="370" t="e">
        <f t="shared" ca="1" si="692"/>
        <v>#NAME?</v>
      </c>
      <c r="AB1139" s="179"/>
      <c r="AC1139" s="180"/>
      <c r="AD1139" s="180"/>
      <c r="AE1139" s="178"/>
      <c r="AF1139" s="178"/>
      <c r="AG1139" s="178"/>
      <c r="AH1139" s="178"/>
      <c r="AI1139" s="179"/>
      <c r="AJ1139" s="369"/>
      <c r="AK1139" s="171"/>
      <c r="AL1139" s="171"/>
      <c r="AM1139" s="171"/>
      <c r="AN1139" s="158"/>
      <c r="AO1139" s="193"/>
      <c r="AP1139" s="193" t="e">
        <f t="shared" ca="1" si="693"/>
        <v>#NAME?</v>
      </c>
      <c r="AQ1139" s="200"/>
      <c r="AR1139" s="204"/>
      <c r="AS1139" s="204"/>
      <c r="AT1139" s="204"/>
      <c r="AU1139" s="204"/>
      <c r="AV1139" s="204"/>
    </row>
    <row r="1140" spans="1:48" ht="12" customHeight="1">
      <c r="A1140" s="62"/>
      <c r="B1140" s="62"/>
      <c r="C1140" s="62"/>
      <c r="D1140" s="62"/>
      <c r="E1140" s="62"/>
      <c r="F1140" s="62"/>
      <c r="G1140" s="62"/>
      <c r="H1140" s="304"/>
      <c r="I1140" s="464"/>
      <c r="J1140" s="303">
        <v>313</v>
      </c>
      <c r="K1140" s="19" t="s">
        <v>340</v>
      </c>
      <c r="L1140" s="112">
        <f t="shared" ref="L1140:S1140" si="708">L1141+L1142</f>
        <v>44080</v>
      </c>
      <c r="M1140" s="112">
        <f t="shared" si="708"/>
        <v>5850.4213949167161</v>
      </c>
      <c r="N1140" s="113">
        <f t="shared" si="708"/>
        <v>40456</v>
      </c>
      <c r="O1140" s="113">
        <f t="shared" si="708"/>
        <v>5369.4339372221111</v>
      </c>
      <c r="P1140" s="114">
        <f t="shared" si="708"/>
        <v>10300</v>
      </c>
      <c r="Q1140" s="114">
        <f t="shared" si="708"/>
        <v>10600</v>
      </c>
      <c r="R1140" s="88">
        <f t="shared" si="708"/>
        <v>10480</v>
      </c>
      <c r="S1140" s="90">
        <f t="shared" si="708"/>
        <v>0</v>
      </c>
      <c r="T1140" s="90"/>
      <c r="U1140" s="90"/>
      <c r="V1140" s="200">
        <f>V1141+V1142</f>
        <v>9800</v>
      </c>
      <c r="W1140" s="200">
        <f>W1141+W1142</f>
        <v>9800</v>
      </c>
      <c r="X1140" s="88">
        <f>X1141+X1142</f>
        <v>16200</v>
      </c>
      <c r="Y1140" s="171">
        <f>Y1141+Y1142</f>
        <v>17500</v>
      </c>
      <c r="Z1140" s="171">
        <f>Z1141+Z1142</f>
        <v>0</v>
      </c>
      <c r="AA1140" s="370" t="e">
        <f t="shared" ca="1" si="692"/>
        <v>#NAME?</v>
      </c>
      <c r="AB1140" s="171"/>
      <c r="AC1140" s="172">
        <f>AC1141+AC1142</f>
        <v>10400</v>
      </c>
      <c r="AD1140" s="172">
        <f>AD1141+AD1142</f>
        <v>10400</v>
      </c>
      <c r="AE1140" s="178">
        <f>O1140/M1140*100</f>
        <v>91.778584392014523</v>
      </c>
      <c r="AF1140" s="178">
        <f>P1140/O1140*100</f>
        <v>191.82655230373743</v>
      </c>
      <c r="AG1140" s="178">
        <f>Q1140/P1140*100</f>
        <v>102.91262135922329</v>
      </c>
      <c r="AH1140" s="178">
        <f>AC1140/Q1140*100</f>
        <v>98.113207547169807</v>
      </c>
      <c r="AI1140" s="171"/>
      <c r="AJ1140" s="171">
        <v>17500</v>
      </c>
      <c r="AK1140" s="171">
        <f t="shared" si="687"/>
        <v>93.511450381679381</v>
      </c>
      <c r="AL1140" s="171">
        <f t="shared" si="688"/>
        <v>165.30612244897961</v>
      </c>
      <c r="AM1140" s="171">
        <f t="shared" si="688"/>
        <v>108.02469135802468</v>
      </c>
      <c r="AN1140" s="90"/>
      <c r="AO1140" s="193"/>
      <c r="AP1140" s="193" t="e">
        <f t="shared" ca="1" si="693"/>
        <v>#NAME?</v>
      </c>
      <c r="AQ1140" s="200">
        <f>AQ1141+AQ1142</f>
        <v>9770</v>
      </c>
      <c r="AR1140" s="204">
        <f t="shared" si="697"/>
        <v>93.511450381679381</v>
      </c>
      <c r="AS1140" s="204">
        <f t="shared" si="698"/>
        <v>100</v>
      </c>
      <c r="AT1140" s="204">
        <f t="shared" si="699"/>
        <v>93.511450381679381</v>
      </c>
      <c r="AU1140" s="204">
        <f t="shared" si="700"/>
        <v>99.693877551020407</v>
      </c>
      <c r="AV1140" s="204">
        <f t="shared" si="701"/>
        <v>93.225190839694662</v>
      </c>
    </row>
    <row r="1141" spans="1:48" ht="12" customHeight="1">
      <c r="A1141" s="53"/>
      <c r="B1141" s="53"/>
      <c r="C1141" s="53"/>
      <c r="D1141" s="53"/>
      <c r="E1141" s="53"/>
      <c r="F1141" s="53"/>
      <c r="G1141" s="53"/>
      <c r="H1141" s="1">
        <v>212</v>
      </c>
      <c r="I1141" s="397">
        <v>820</v>
      </c>
      <c r="J1141" s="229">
        <v>3132</v>
      </c>
      <c r="K1141" s="18" t="s">
        <v>341</v>
      </c>
      <c r="L1141" s="130">
        <v>44080</v>
      </c>
      <c r="M1141" s="130">
        <f>44080/7.5345</f>
        <v>5850.4213949167161</v>
      </c>
      <c r="N1141" s="131">
        <v>40456</v>
      </c>
      <c r="O1141" s="131">
        <f>N1141/7.5345</f>
        <v>5369.4339372221111</v>
      </c>
      <c r="P1141" s="132">
        <v>10300</v>
      </c>
      <c r="Q1141" s="163">
        <v>10600</v>
      </c>
      <c r="R1141" s="159">
        <v>10480</v>
      </c>
      <c r="S1141" s="165"/>
      <c r="T1141" s="165"/>
      <c r="U1141" s="165"/>
      <c r="V1141" s="200">
        <v>9800</v>
      </c>
      <c r="W1141" s="200">
        <v>9800</v>
      </c>
      <c r="X1141" s="164">
        <v>16200</v>
      </c>
      <c r="Y1141" s="378">
        <v>17500</v>
      </c>
      <c r="Z1141" s="378"/>
      <c r="AA1141" s="370" t="e">
        <f t="shared" ca="1" si="692"/>
        <v>#NAME?</v>
      </c>
      <c r="AB1141" s="183"/>
      <c r="AC1141" s="178">
        <v>10400</v>
      </c>
      <c r="AD1141" s="178">
        <v>10400</v>
      </c>
      <c r="AE1141" s="178">
        <f>O1141/M1141*100</f>
        <v>91.778584392014523</v>
      </c>
      <c r="AF1141" s="178">
        <f>P1141/O1141*100</f>
        <v>191.82655230373743</v>
      </c>
      <c r="AG1141" s="178">
        <f>Q1141/P1141*100</f>
        <v>102.91262135922329</v>
      </c>
      <c r="AH1141" s="178">
        <f>AC1141/Q1141*100</f>
        <v>98.113207547169807</v>
      </c>
      <c r="AI1141" s="183"/>
      <c r="AJ1141" s="378">
        <v>17500</v>
      </c>
      <c r="AK1141" s="171">
        <f t="shared" si="687"/>
        <v>93.511450381679381</v>
      </c>
      <c r="AL1141" s="171">
        <f t="shared" si="688"/>
        <v>165.30612244897961</v>
      </c>
      <c r="AM1141" s="171">
        <f t="shared" si="688"/>
        <v>108.02469135802468</v>
      </c>
      <c r="AN1141" s="165"/>
      <c r="AO1141" s="193"/>
      <c r="AP1141" s="193" t="e">
        <f t="shared" ca="1" si="693"/>
        <v>#NAME?</v>
      </c>
      <c r="AQ1141" s="200">
        <v>9770</v>
      </c>
      <c r="AR1141" s="204">
        <f t="shared" si="697"/>
        <v>93.511450381679381</v>
      </c>
      <c r="AS1141" s="204">
        <f t="shared" si="698"/>
        <v>100</v>
      </c>
      <c r="AT1141" s="204">
        <f t="shared" si="699"/>
        <v>93.511450381679381</v>
      </c>
      <c r="AU1141" s="204">
        <f t="shared" si="700"/>
        <v>99.693877551020407</v>
      </c>
      <c r="AV1141" s="204">
        <f t="shared" si="701"/>
        <v>93.225190839694662</v>
      </c>
    </row>
    <row r="1142" spans="1:48" ht="12" customHeight="1">
      <c r="A1142" s="53"/>
      <c r="B1142" s="53"/>
      <c r="C1142" s="53"/>
      <c r="D1142" s="53"/>
      <c r="E1142" s="53"/>
      <c r="F1142" s="53"/>
      <c r="G1142" s="53"/>
      <c r="H1142" s="1">
        <v>213</v>
      </c>
      <c r="I1142" s="397">
        <v>820</v>
      </c>
      <c r="J1142" s="229">
        <v>3133</v>
      </c>
      <c r="K1142" s="18" t="s">
        <v>828</v>
      </c>
      <c r="L1142" s="130">
        <v>0</v>
      </c>
      <c r="M1142" s="130">
        <v>0</v>
      </c>
      <c r="N1142" s="131">
        <v>0</v>
      </c>
      <c r="O1142" s="131">
        <v>0</v>
      </c>
      <c r="P1142" s="132">
        <v>0</v>
      </c>
      <c r="Q1142" s="132">
        <v>0</v>
      </c>
      <c r="R1142" s="159">
        <v>0</v>
      </c>
      <c r="S1142" s="165"/>
      <c r="T1142" s="165"/>
      <c r="U1142" s="165"/>
      <c r="V1142" s="200"/>
      <c r="W1142" s="200"/>
      <c r="X1142" s="164"/>
      <c r="Y1142" s="378"/>
      <c r="Z1142" s="378"/>
      <c r="AA1142" s="370" t="e">
        <f t="shared" ca="1" si="692"/>
        <v>#NAME?</v>
      </c>
      <c r="AB1142" s="183"/>
      <c r="AC1142" s="178">
        <v>0</v>
      </c>
      <c r="AD1142" s="178">
        <v>0</v>
      </c>
      <c r="AE1142" s="178"/>
      <c r="AF1142" s="178"/>
      <c r="AG1142" s="178"/>
      <c r="AH1142" s="178"/>
      <c r="AI1142" s="183"/>
      <c r="AJ1142" s="378"/>
      <c r="AK1142" s="171"/>
      <c r="AL1142" s="171"/>
      <c r="AM1142" s="171"/>
      <c r="AN1142" s="165"/>
      <c r="AO1142" s="193"/>
      <c r="AP1142" s="193" t="e">
        <f t="shared" ca="1" si="693"/>
        <v>#NAME?</v>
      </c>
      <c r="AQ1142" s="200"/>
      <c r="AR1142" s="204"/>
      <c r="AS1142" s="204"/>
      <c r="AT1142" s="204"/>
      <c r="AU1142" s="204"/>
      <c r="AV1142" s="204"/>
    </row>
    <row r="1143" spans="1:48" ht="12" customHeight="1">
      <c r="A1143" s="42"/>
      <c r="B1143" s="42"/>
      <c r="C1143" s="42"/>
      <c r="D1143" s="42"/>
      <c r="E1143" s="42"/>
      <c r="F1143" s="42"/>
      <c r="G1143" s="42"/>
      <c r="H1143" s="308"/>
      <c r="I1143" s="14"/>
      <c r="J1143" s="2"/>
      <c r="K1143" s="84"/>
      <c r="L1143" s="85">
        <v>1</v>
      </c>
      <c r="M1143" s="85">
        <v>2</v>
      </c>
      <c r="N1143" s="86">
        <v>3</v>
      </c>
      <c r="O1143" s="86">
        <v>4</v>
      </c>
      <c r="P1143" s="87">
        <v>5</v>
      </c>
      <c r="Q1143" s="87">
        <v>6</v>
      </c>
      <c r="R1143" s="160"/>
      <c r="S1143" s="161"/>
      <c r="T1143" s="161"/>
      <c r="U1143" s="161"/>
      <c r="V1143" s="200"/>
      <c r="W1143" s="200"/>
      <c r="X1143" s="361"/>
      <c r="Y1143" s="373"/>
      <c r="Z1143" s="373"/>
      <c r="AA1143" s="370" t="e">
        <f t="shared" ca="1" si="692"/>
        <v>#NAME?</v>
      </c>
      <c r="AB1143" s="181"/>
      <c r="AC1143" s="182">
        <v>7</v>
      </c>
      <c r="AD1143" s="182">
        <v>8</v>
      </c>
      <c r="AE1143" s="182">
        <v>9</v>
      </c>
      <c r="AF1143" s="182">
        <v>10</v>
      </c>
      <c r="AG1143" s="182">
        <v>11</v>
      </c>
      <c r="AH1143" s="182">
        <v>12</v>
      </c>
      <c r="AI1143" s="181"/>
      <c r="AJ1143" s="373"/>
      <c r="AK1143" s="171"/>
      <c r="AL1143" s="171"/>
      <c r="AM1143" s="171"/>
      <c r="AN1143" s="161"/>
      <c r="AO1143" s="193"/>
      <c r="AP1143" s="193" t="e">
        <f t="shared" ca="1" si="693"/>
        <v>#NAME?</v>
      </c>
      <c r="AQ1143" s="200"/>
      <c r="AR1143" s="204"/>
      <c r="AS1143" s="204"/>
      <c r="AT1143" s="204"/>
      <c r="AU1143" s="204"/>
      <c r="AV1143" s="204"/>
    </row>
    <row r="1144" spans="1:48" ht="12" customHeight="1">
      <c r="A1144" s="301"/>
      <c r="B1144" s="301"/>
      <c r="C1144" s="301"/>
      <c r="D1144" s="301"/>
      <c r="E1144" s="301"/>
      <c r="F1144" s="301"/>
      <c r="G1144" s="301"/>
      <c r="H1144" s="307"/>
      <c r="I1144" s="350"/>
      <c r="J1144" s="302">
        <v>32</v>
      </c>
      <c r="K1144" s="343" t="s">
        <v>233</v>
      </c>
      <c r="L1144" s="112">
        <f t="shared" ref="L1144:S1144" si="709">L1145+L1151+L1156+L1164</f>
        <v>215626</v>
      </c>
      <c r="M1144" s="112">
        <f t="shared" si="709"/>
        <v>28618.488287212156</v>
      </c>
      <c r="N1144" s="113">
        <f t="shared" si="709"/>
        <v>120337</v>
      </c>
      <c r="O1144" s="113">
        <f t="shared" si="709"/>
        <v>15971.464596190857</v>
      </c>
      <c r="P1144" s="114">
        <f t="shared" si="709"/>
        <v>28100</v>
      </c>
      <c r="Q1144" s="114">
        <f t="shared" si="709"/>
        <v>32300</v>
      </c>
      <c r="R1144" s="88">
        <f t="shared" si="709"/>
        <v>31698</v>
      </c>
      <c r="S1144" s="90">
        <f t="shared" si="709"/>
        <v>0</v>
      </c>
      <c r="T1144" s="90"/>
      <c r="U1144" s="90"/>
      <c r="V1144" s="200">
        <f>V1145+V1151+V1156+V1164</f>
        <v>99800</v>
      </c>
      <c r="W1144" s="200">
        <f>W1145+W1151+W1156+W1164</f>
        <v>99800</v>
      </c>
      <c r="X1144" s="88">
        <f>X1145+X1151+X1156+X1164</f>
        <v>114600</v>
      </c>
      <c r="Y1144" s="171">
        <f>Y1145+Y1151+Y1156+Y1164</f>
        <v>116200</v>
      </c>
      <c r="Z1144" s="171">
        <f>Z1145+Z1151+Z1156+Z1164</f>
        <v>0</v>
      </c>
      <c r="AA1144" s="370" t="e">
        <f t="shared" ca="1" si="692"/>
        <v>#NAME?</v>
      </c>
      <c r="AB1144" s="171"/>
      <c r="AC1144" s="172">
        <f>AC1145+AC1151+AC1156+AC1164</f>
        <v>29300</v>
      </c>
      <c r="AD1144" s="172">
        <f>AD1145+AD1151+AD1156+AD1164</f>
        <v>29300</v>
      </c>
      <c r="AE1144" s="178">
        <f>O1144/M1144*100</f>
        <v>55.808204947455323</v>
      </c>
      <c r="AF1144" s="178">
        <f t="shared" ref="AF1144:AG1147" si="710">P1144/O1144*100</f>
        <v>175.93878025877325</v>
      </c>
      <c r="AG1144" s="178">
        <f t="shared" si="710"/>
        <v>114.94661921708185</v>
      </c>
      <c r="AH1144" s="178">
        <f>AC1144/Q1144*100</f>
        <v>90.712074303405572</v>
      </c>
      <c r="AI1144" s="171"/>
      <c r="AJ1144" s="171">
        <v>116200</v>
      </c>
      <c r="AK1144" s="171">
        <f t="shared" si="687"/>
        <v>314.84636254653287</v>
      </c>
      <c r="AL1144" s="171">
        <f t="shared" si="688"/>
        <v>114.82965931863727</v>
      </c>
      <c r="AM1144" s="171">
        <f t="shared" si="688"/>
        <v>101.39616055846423</v>
      </c>
      <c r="AN1144" s="90"/>
      <c r="AO1144" s="193"/>
      <c r="AP1144" s="193" t="e">
        <f t="shared" ca="1" si="693"/>
        <v>#NAME?</v>
      </c>
      <c r="AQ1144" s="200">
        <f>AQ1145+AQ1151+AQ1156+AQ1164</f>
        <v>82434</v>
      </c>
      <c r="AR1144" s="204">
        <f t="shared" si="697"/>
        <v>314.84636254653287</v>
      </c>
      <c r="AS1144" s="204">
        <f t="shared" si="698"/>
        <v>100</v>
      </c>
      <c r="AT1144" s="204">
        <f t="shared" si="699"/>
        <v>314.84636254653287</v>
      </c>
      <c r="AU1144" s="204">
        <f t="shared" si="700"/>
        <v>82.599198396793582</v>
      </c>
      <c r="AV1144" s="204">
        <f t="shared" si="701"/>
        <v>260.06057164489874</v>
      </c>
    </row>
    <row r="1145" spans="1:48" ht="12" customHeight="1">
      <c r="A1145" s="62"/>
      <c r="B1145" s="62"/>
      <c r="C1145" s="62"/>
      <c r="D1145" s="62"/>
      <c r="E1145" s="62"/>
      <c r="F1145" s="62"/>
      <c r="G1145" s="62"/>
      <c r="H1145" s="304"/>
      <c r="I1145" s="464"/>
      <c r="J1145" s="303">
        <v>321</v>
      </c>
      <c r="K1145" s="19" t="s">
        <v>829</v>
      </c>
      <c r="L1145" s="112">
        <f t="shared" ref="L1145:S1145" si="711">L1146+L1147+L1148+L1149</f>
        <v>13742</v>
      </c>
      <c r="M1145" s="112">
        <f t="shared" si="711"/>
        <v>1823.8768332337911</v>
      </c>
      <c r="N1145" s="113">
        <f t="shared" si="711"/>
        <v>16580</v>
      </c>
      <c r="O1145" s="113">
        <f t="shared" si="711"/>
        <v>2200.5441635144998</v>
      </c>
      <c r="P1145" s="114">
        <f t="shared" si="711"/>
        <v>2900</v>
      </c>
      <c r="Q1145" s="114">
        <f t="shared" si="711"/>
        <v>5700</v>
      </c>
      <c r="R1145" s="88">
        <f t="shared" si="711"/>
        <v>4568</v>
      </c>
      <c r="S1145" s="90">
        <f t="shared" si="711"/>
        <v>0</v>
      </c>
      <c r="T1145" s="90"/>
      <c r="U1145" s="90"/>
      <c r="V1145" s="200">
        <f>V1146+V1147+V1148+V1149</f>
        <v>6400</v>
      </c>
      <c r="W1145" s="200">
        <f>W1146+W1147+W1148+W1149</f>
        <v>6400</v>
      </c>
      <c r="X1145" s="88">
        <f>X1146+X1147+X1148+X1149</f>
        <v>6900</v>
      </c>
      <c r="Y1145" s="171">
        <f>Y1146+Y1147+Y1148+Y1149</f>
        <v>8000</v>
      </c>
      <c r="Z1145" s="171">
        <f>Z1146+Z1147+Z1148+Z1149</f>
        <v>0</v>
      </c>
      <c r="AA1145" s="370" t="e">
        <f t="shared" ca="1" si="692"/>
        <v>#NAME?</v>
      </c>
      <c r="AB1145" s="171"/>
      <c r="AC1145" s="172">
        <f>AC1146+AC1147+AC1148+AC1149</f>
        <v>3500</v>
      </c>
      <c r="AD1145" s="172">
        <f>AD1146+AD1147+AD1148+AD1149</f>
        <v>3500</v>
      </c>
      <c r="AE1145" s="178">
        <f>O1145/M1145*100</f>
        <v>120.65201571823607</v>
      </c>
      <c r="AF1145" s="178">
        <f t="shared" si="710"/>
        <v>131.78558504221957</v>
      </c>
      <c r="AG1145" s="178">
        <f t="shared" si="710"/>
        <v>196.55172413793102</v>
      </c>
      <c r="AH1145" s="178">
        <f>AC1145/Q1145*100</f>
        <v>61.403508771929829</v>
      </c>
      <c r="AI1145" s="171"/>
      <c r="AJ1145" s="171">
        <v>8000</v>
      </c>
      <c r="AK1145" s="171">
        <f t="shared" si="687"/>
        <v>140.10507880910683</v>
      </c>
      <c r="AL1145" s="171">
        <f t="shared" si="688"/>
        <v>107.8125</v>
      </c>
      <c r="AM1145" s="171">
        <f t="shared" si="688"/>
        <v>115.94202898550725</v>
      </c>
      <c r="AN1145" s="90"/>
      <c r="AO1145" s="193"/>
      <c r="AP1145" s="193" t="e">
        <f t="shared" ca="1" si="693"/>
        <v>#NAME?</v>
      </c>
      <c r="AQ1145" s="200">
        <f>AQ1146+AQ1147+AQ1148+AQ1149</f>
        <v>4916</v>
      </c>
      <c r="AR1145" s="204">
        <f t="shared" si="697"/>
        <v>140.10507880910683</v>
      </c>
      <c r="AS1145" s="204">
        <f t="shared" si="698"/>
        <v>100</v>
      </c>
      <c r="AT1145" s="204">
        <f t="shared" si="699"/>
        <v>140.10507880910683</v>
      </c>
      <c r="AU1145" s="204">
        <f t="shared" si="700"/>
        <v>76.8125</v>
      </c>
      <c r="AV1145" s="204">
        <f t="shared" si="701"/>
        <v>107.61821366024517</v>
      </c>
    </row>
    <row r="1146" spans="1:48" ht="12" customHeight="1">
      <c r="A1146" s="53"/>
      <c r="B1146" s="53"/>
      <c r="C1146" s="53"/>
      <c r="D1146" s="53"/>
      <c r="E1146" s="53"/>
      <c r="F1146" s="53"/>
      <c r="G1146" s="53"/>
      <c r="H1146" s="1">
        <v>214</v>
      </c>
      <c r="I1146" s="397">
        <v>820</v>
      </c>
      <c r="J1146" s="229">
        <v>3211</v>
      </c>
      <c r="K1146" s="18" t="s">
        <v>235</v>
      </c>
      <c r="L1146" s="130">
        <v>3273</v>
      </c>
      <c r="M1146" s="130">
        <f>3273/7.5345</f>
        <v>434.40175194107104</v>
      </c>
      <c r="N1146" s="131">
        <v>4372</v>
      </c>
      <c r="O1146" s="131">
        <f>N1146/7.5345</f>
        <v>580.26411838874503</v>
      </c>
      <c r="P1146" s="132">
        <v>400</v>
      </c>
      <c r="Q1146" s="163">
        <v>1300</v>
      </c>
      <c r="R1146" s="159">
        <v>1936</v>
      </c>
      <c r="S1146" s="165"/>
      <c r="T1146" s="165"/>
      <c r="U1146" s="165"/>
      <c r="V1146" s="200">
        <v>1300</v>
      </c>
      <c r="W1146" s="200">
        <v>1300</v>
      </c>
      <c r="X1146" s="164">
        <v>1300</v>
      </c>
      <c r="Y1146" s="378">
        <v>1500</v>
      </c>
      <c r="Z1146" s="378"/>
      <c r="AA1146" s="370" t="e">
        <f t="shared" ca="1" si="692"/>
        <v>#NAME?</v>
      </c>
      <c r="AB1146" s="183"/>
      <c r="AC1146" s="178">
        <v>500</v>
      </c>
      <c r="AD1146" s="178">
        <v>500</v>
      </c>
      <c r="AE1146" s="178">
        <f>O1146/M1146*100</f>
        <v>133.57775740910478</v>
      </c>
      <c r="AF1146" s="178">
        <f t="shared" si="710"/>
        <v>68.934126258005506</v>
      </c>
      <c r="AG1146" s="178">
        <f t="shared" si="710"/>
        <v>325</v>
      </c>
      <c r="AH1146" s="178">
        <f>AC1146/Q1146*100</f>
        <v>38.461538461538467</v>
      </c>
      <c r="AI1146" s="183"/>
      <c r="AJ1146" s="378">
        <v>1500</v>
      </c>
      <c r="AK1146" s="171">
        <f t="shared" si="687"/>
        <v>67.148760330578511</v>
      </c>
      <c r="AL1146" s="171">
        <f t="shared" si="688"/>
        <v>100</v>
      </c>
      <c r="AM1146" s="171">
        <f t="shared" si="688"/>
        <v>115.38461538461537</v>
      </c>
      <c r="AN1146" s="165"/>
      <c r="AO1146" s="193"/>
      <c r="AP1146" s="193" t="e">
        <f t="shared" ca="1" si="693"/>
        <v>#NAME?</v>
      </c>
      <c r="AQ1146" s="200">
        <v>965</v>
      </c>
      <c r="AR1146" s="204">
        <f t="shared" si="697"/>
        <v>67.148760330578511</v>
      </c>
      <c r="AS1146" s="204">
        <f t="shared" si="698"/>
        <v>100</v>
      </c>
      <c r="AT1146" s="204">
        <f t="shared" si="699"/>
        <v>67.148760330578511</v>
      </c>
      <c r="AU1146" s="204">
        <f t="shared" si="700"/>
        <v>74.230769230769226</v>
      </c>
      <c r="AV1146" s="204">
        <f t="shared" si="701"/>
        <v>49.845041322314046</v>
      </c>
    </row>
    <row r="1147" spans="1:48" ht="12" customHeight="1">
      <c r="A1147" s="53"/>
      <c r="B1147" s="53"/>
      <c r="C1147" s="53"/>
      <c r="D1147" s="53"/>
      <c r="E1147" s="53"/>
      <c r="F1147" s="53"/>
      <c r="G1147" s="53"/>
      <c r="H1147" s="16" t="s">
        <v>860</v>
      </c>
      <c r="I1147" s="481">
        <v>820</v>
      </c>
      <c r="J1147" s="407">
        <v>3212</v>
      </c>
      <c r="K1147" s="412" t="s">
        <v>347</v>
      </c>
      <c r="L1147" s="413">
        <v>10469</v>
      </c>
      <c r="M1147" s="413">
        <f>10469/7.5345</f>
        <v>1389.47508129272</v>
      </c>
      <c r="N1147" s="414">
        <v>12208</v>
      </c>
      <c r="O1147" s="131">
        <f>N1147/7.5345</f>
        <v>1620.2800451257547</v>
      </c>
      <c r="P1147" s="415">
        <v>2000</v>
      </c>
      <c r="Q1147" s="500">
        <v>4200</v>
      </c>
      <c r="R1147" s="421">
        <v>2632</v>
      </c>
      <c r="S1147" s="419"/>
      <c r="T1147" s="419"/>
      <c r="U1147" s="419"/>
      <c r="V1147" s="200">
        <v>4600</v>
      </c>
      <c r="W1147" s="200">
        <v>4600</v>
      </c>
      <c r="X1147" s="422">
        <v>4600</v>
      </c>
      <c r="Y1147" s="429">
        <v>4800</v>
      </c>
      <c r="Z1147" s="429"/>
      <c r="AA1147" s="370" t="e">
        <f t="shared" ca="1" si="692"/>
        <v>#NAME?</v>
      </c>
      <c r="AB1147" s="430"/>
      <c r="AC1147" s="431">
        <v>2500</v>
      </c>
      <c r="AD1147" s="431">
        <v>2500</v>
      </c>
      <c r="AE1147" s="178">
        <f>O1147/M1147*100</f>
        <v>116.61094660426019</v>
      </c>
      <c r="AF1147" s="178">
        <f t="shared" si="710"/>
        <v>123.43545216251638</v>
      </c>
      <c r="AG1147" s="178">
        <f t="shared" si="710"/>
        <v>210</v>
      </c>
      <c r="AH1147" s="178">
        <f>AC1147/Q1147*100</f>
        <v>59.523809523809526</v>
      </c>
      <c r="AI1147" s="430"/>
      <c r="AJ1147" s="429">
        <v>4800</v>
      </c>
      <c r="AK1147" s="171">
        <f t="shared" si="687"/>
        <v>174.77203647416414</v>
      </c>
      <c r="AL1147" s="171">
        <f t="shared" si="688"/>
        <v>100</v>
      </c>
      <c r="AM1147" s="171">
        <f t="shared" si="688"/>
        <v>104.34782608695652</v>
      </c>
      <c r="AN1147" s="419"/>
      <c r="AO1147" s="193"/>
      <c r="AP1147" s="193" t="e">
        <f t="shared" ca="1" si="693"/>
        <v>#NAME?</v>
      </c>
      <c r="AQ1147" s="200">
        <v>3951</v>
      </c>
      <c r="AR1147" s="204">
        <f t="shared" si="697"/>
        <v>174.77203647416414</v>
      </c>
      <c r="AS1147" s="204">
        <f t="shared" si="698"/>
        <v>100</v>
      </c>
      <c r="AT1147" s="204">
        <f t="shared" si="699"/>
        <v>174.77203647416414</v>
      </c>
      <c r="AU1147" s="204">
        <f t="shared" si="700"/>
        <v>85.891304347826093</v>
      </c>
      <c r="AV1147" s="204">
        <f t="shared" si="701"/>
        <v>150.11398176291792</v>
      </c>
    </row>
    <row r="1148" spans="1:48" ht="12" customHeight="1">
      <c r="A1148" s="53"/>
      <c r="B1148" s="53"/>
      <c r="C1148" s="53"/>
      <c r="D1148" s="53"/>
      <c r="E1148" s="53"/>
      <c r="F1148" s="53"/>
      <c r="G1148" s="53"/>
      <c r="H1148" s="16" t="s">
        <v>861</v>
      </c>
      <c r="I1148" s="481">
        <v>820</v>
      </c>
      <c r="J1148" s="407">
        <v>3213</v>
      </c>
      <c r="K1148" s="412" t="s">
        <v>237</v>
      </c>
      <c r="L1148" s="413">
        <v>0</v>
      </c>
      <c r="M1148" s="413">
        <v>0</v>
      </c>
      <c r="N1148" s="414">
        <v>0</v>
      </c>
      <c r="O1148" s="131">
        <f>N1148/7.5345</f>
        <v>0</v>
      </c>
      <c r="P1148" s="415">
        <v>300</v>
      </c>
      <c r="Q1148" s="500">
        <v>0</v>
      </c>
      <c r="R1148" s="421">
        <v>0</v>
      </c>
      <c r="S1148" s="419"/>
      <c r="T1148" s="419"/>
      <c r="U1148" s="419"/>
      <c r="V1148" s="200">
        <v>0</v>
      </c>
      <c r="W1148" s="200">
        <v>0</v>
      </c>
      <c r="X1148" s="422">
        <v>0</v>
      </c>
      <c r="Y1148" s="429">
        <v>500</v>
      </c>
      <c r="Z1148" s="429"/>
      <c r="AA1148" s="370" t="e">
        <f t="shared" ca="1" si="692"/>
        <v>#NAME?</v>
      </c>
      <c r="AB1148" s="430"/>
      <c r="AC1148" s="431">
        <v>300</v>
      </c>
      <c r="AD1148" s="431">
        <v>300</v>
      </c>
      <c r="AE1148" s="178"/>
      <c r="AF1148" s="178"/>
      <c r="AG1148" s="178"/>
      <c r="AH1148" s="178"/>
      <c r="AI1148" s="430"/>
      <c r="AJ1148" s="429">
        <v>500</v>
      </c>
      <c r="AK1148" s="171"/>
      <c r="AL1148" s="171"/>
      <c r="AM1148" s="171"/>
      <c r="AN1148" s="419"/>
      <c r="AO1148" s="193"/>
      <c r="AP1148" s="193" t="e">
        <f t="shared" ca="1" si="693"/>
        <v>#NAME?</v>
      </c>
      <c r="AQ1148" s="200"/>
      <c r="AR1148" s="204"/>
      <c r="AS1148" s="204"/>
      <c r="AT1148" s="204"/>
      <c r="AU1148" s="204"/>
      <c r="AV1148" s="204"/>
    </row>
    <row r="1149" spans="1:48" ht="12" customHeight="1">
      <c r="A1149" s="53"/>
      <c r="B1149" s="53"/>
      <c r="C1149" s="53"/>
      <c r="D1149" s="53"/>
      <c r="E1149" s="53"/>
      <c r="F1149" s="53"/>
      <c r="G1149" s="53"/>
      <c r="H1149" s="16" t="s">
        <v>862</v>
      </c>
      <c r="I1149" s="481">
        <v>820</v>
      </c>
      <c r="J1149" s="407">
        <v>3214</v>
      </c>
      <c r="K1149" s="412" t="s">
        <v>349</v>
      </c>
      <c r="L1149" s="413">
        <v>0</v>
      </c>
      <c r="M1149" s="413">
        <v>0</v>
      </c>
      <c r="N1149" s="414">
        <v>0</v>
      </c>
      <c r="O1149" s="131">
        <f>N1149/7.5345</f>
        <v>0</v>
      </c>
      <c r="P1149" s="415">
        <v>200</v>
      </c>
      <c r="Q1149" s="415">
        <v>200</v>
      </c>
      <c r="R1149" s="421">
        <v>0</v>
      </c>
      <c r="S1149" s="419"/>
      <c r="T1149" s="419"/>
      <c r="U1149" s="419"/>
      <c r="V1149" s="200">
        <v>500</v>
      </c>
      <c r="W1149" s="200">
        <v>500</v>
      </c>
      <c r="X1149" s="422">
        <v>1000</v>
      </c>
      <c r="Y1149" s="429">
        <v>1200</v>
      </c>
      <c r="Z1149" s="429"/>
      <c r="AA1149" s="370" t="e">
        <f t="shared" ca="1" si="692"/>
        <v>#NAME?</v>
      </c>
      <c r="AB1149" s="430"/>
      <c r="AC1149" s="431">
        <v>200</v>
      </c>
      <c r="AD1149" s="431">
        <v>200</v>
      </c>
      <c r="AE1149" s="178"/>
      <c r="AF1149" s="178"/>
      <c r="AG1149" s="178"/>
      <c r="AH1149" s="178"/>
      <c r="AI1149" s="430"/>
      <c r="AJ1149" s="429">
        <v>1200</v>
      </c>
      <c r="AK1149" s="171"/>
      <c r="AL1149" s="171">
        <f t="shared" si="688"/>
        <v>200</v>
      </c>
      <c r="AM1149" s="171">
        <f t="shared" si="688"/>
        <v>120</v>
      </c>
      <c r="AN1149" s="419"/>
      <c r="AO1149" s="193"/>
      <c r="AP1149" s="193" t="e">
        <f t="shared" ca="1" si="693"/>
        <v>#NAME?</v>
      </c>
      <c r="AQ1149" s="200"/>
      <c r="AR1149" s="204"/>
      <c r="AS1149" s="204">
        <f t="shared" si="698"/>
        <v>100</v>
      </c>
      <c r="AT1149" s="204"/>
      <c r="AU1149" s="204">
        <f t="shared" si="700"/>
        <v>0</v>
      </c>
      <c r="AV1149" s="204"/>
    </row>
    <row r="1150" spans="1:48" ht="12" customHeight="1">
      <c r="A1150" s="69"/>
      <c r="B1150" s="69"/>
      <c r="C1150" s="69"/>
      <c r="D1150" s="69"/>
      <c r="E1150" s="69"/>
      <c r="F1150" s="69"/>
      <c r="G1150" s="69"/>
      <c r="H1150" s="569"/>
      <c r="I1150" s="573"/>
      <c r="J1150" s="574"/>
      <c r="K1150" s="574"/>
      <c r="L1150" s="575"/>
      <c r="M1150" s="575"/>
      <c r="N1150" s="576"/>
      <c r="O1150" s="576"/>
      <c r="P1150" s="577"/>
      <c r="Q1150" s="577"/>
      <c r="R1150" s="578"/>
      <c r="S1150" s="579"/>
      <c r="T1150" s="579"/>
      <c r="U1150" s="579"/>
      <c r="V1150" s="200"/>
      <c r="W1150" s="200"/>
      <c r="X1150" s="564"/>
      <c r="Y1150" s="580"/>
      <c r="Z1150" s="580"/>
      <c r="AA1150" s="370" t="e">
        <f t="shared" ca="1" si="692"/>
        <v>#NAME?</v>
      </c>
      <c r="AB1150" s="581"/>
      <c r="AC1150" s="582"/>
      <c r="AD1150" s="582"/>
      <c r="AE1150" s="178"/>
      <c r="AF1150" s="178"/>
      <c r="AG1150" s="178"/>
      <c r="AH1150" s="178"/>
      <c r="AI1150" s="581"/>
      <c r="AJ1150" s="580"/>
      <c r="AK1150" s="171"/>
      <c r="AL1150" s="171"/>
      <c r="AM1150" s="171"/>
      <c r="AN1150" s="579"/>
      <c r="AO1150" s="193"/>
      <c r="AP1150" s="193" t="e">
        <f t="shared" ca="1" si="693"/>
        <v>#NAME?</v>
      </c>
      <c r="AQ1150" s="200"/>
      <c r="AR1150" s="204"/>
      <c r="AS1150" s="204"/>
      <c r="AT1150" s="204"/>
      <c r="AU1150" s="204"/>
      <c r="AV1150" s="204"/>
    </row>
    <row r="1151" spans="1:48" ht="12" customHeight="1">
      <c r="A1151" s="62"/>
      <c r="B1151" s="62"/>
      <c r="C1151" s="62"/>
      <c r="D1151" s="62"/>
      <c r="E1151" s="62"/>
      <c r="F1151" s="62"/>
      <c r="G1151" s="62"/>
      <c r="H1151" s="388"/>
      <c r="I1151" s="542"/>
      <c r="J1151" s="399">
        <v>322</v>
      </c>
      <c r="K1151" s="400" t="s">
        <v>580</v>
      </c>
      <c r="L1151" s="335">
        <f t="shared" ref="L1151:S1151" si="712">L1152+L1153+L1154</f>
        <v>3618</v>
      </c>
      <c r="M1151" s="335">
        <f t="shared" si="712"/>
        <v>480.19112084411699</v>
      </c>
      <c r="N1151" s="336">
        <f t="shared" si="712"/>
        <v>6244</v>
      </c>
      <c r="O1151" s="336">
        <f t="shared" si="712"/>
        <v>828.721215740925</v>
      </c>
      <c r="P1151" s="337">
        <f t="shared" si="712"/>
        <v>2100</v>
      </c>
      <c r="Q1151" s="337">
        <f t="shared" si="712"/>
        <v>2800</v>
      </c>
      <c r="R1151" s="359">
        <f t="shared" si="712"/>
        <v>2455</v>
      </c>
      <c r="S1151" s="360">
        <f t="shared" si="712"/>
        <v>0</v>
      </c>
      <c r="T1151" s="360"/>
      <c r="U1151" s="360"/>
      <c r="V1151" s="200">
        <f>V1152+V1153+V1154</f>
        <v>3900</v>
      </c>
      <c r="W1151" s="200">
        <f>W1152+W1153+W1154</f>
        <v>3900</v>
      </c>
      <c r="X1151" s="359">
        <f>X1152+X1153+X1154</f>
        <v>5400</v>
      </c>
      <c r="Y1151" s="371">
        <f>Y1152+Y1153+Y1154</f>
        <v>5700</v>
      </c>
      <c r="Z1151" s="371">
        <f>Z1152+Z1153+Z1154</f>
        <v>0</v>
      </c>
      <c r="AA1151" s="370" t="e">
        <f t="shared" ca="1" si="692"/>
        <v>#NAME?</v>
      </c>
      <c r="AB1151" s="371"/>
      <c r="AC1151" s="372">
        <f>AC1152+AC1153+AC1154</f>
        <v>2300</v>
      </c>
      <c r="AD1151" s="372">
        <f>AD1152+AD1153+AD1154</f>
        <v>2300</v>
      </c>
      <c r="AE1151" s="178">
        <f>O1151/M1151*100</f>
        <v>172.58153676064126</v>
      </c>
      <c r="AF1151" s="178">
        <f t="shared" ref="AF1151:AG1153" si="713">P1151/O1151*100</f>
        <v>253.40246636771303</v>
      </c>
      <c r="AG1151" s="178">
        <f t="shared" si="713"/>
        <v>133.33333333333331</v>
      </c>
      <c r="AH1151" s="178">
        <f>AC1151/Q1151*100</f>
        <v>82.142857142857139</v>
      </c>
      <c r="AI1151" s="371"/>
      <c r="AJ1151" s="371">
        <v>5700</v>
      </c>
      <c r="AK1151" s="171">
        <f t="shared" si="687"/>
        <v>158.85947046843177</v>
      </c>
      <c r="AL1151" s="171">
        <f t="shared" si="688"/>
        <v>138.46153846153845</v>
      </c>
      <c r="AM1151" s="171">
        <f t="shared" si="688"/>
        <v>105.55555555555556</v>
      </c>
      <c r="AN1151" s="360"/>
      <c r="AO1151" s="193"/>
      <c r="AP1151" s="193" t="e">
        <f t="shared" ca="1" si="693"/>
        <v>#NAME?</v>
      </c>
      <c r="AQ1151" s="200">
        <f>AQ1152+AQ1153+AQ1154</f>
        <v>2488</v>
      </c>
      <c r="AR1151" s="204">
        <f t="shared" si="697"/>
        <v>158.85947046843177</v>
      </c>
      <c r="AS1151" s="204">
        <f t="shared" si="698"/>
        <v>100</v>
      </c>
      <c r="AT1151" s="204">
        <f t="shared" si="699"/>
        <v>158.85947046843177</v>
      </c>
      <c r="AU1151" s="204">
        <f t="shared" si="700"/>
        <v>63.794871794871796</v>
      </c>
      <c r="AV1151" s="204">
        <f t="shared" si="701"/>
        <v>101.34419551934828</v>
      </c>
    </row>
    <row r="1152" spans="1:48" ht="12" customHeight="1">
      <c r="A1152" s="53"/>
      <c r="B1152" s="53"/>
      <c r="C1152" s="53"/>
      <c r="D1152" s="53"/>
      <c r="E1152" s="53"/>
      <c r="F1152" s="53"/>
      <c r="G1152" s="53"/>
      <c r="H1152" s="1">
        <v>217</v>
      </c>
      <c r="I1152" s="397">
        <v>820</v>
      </c>
      <c r="J1152" s="229">
        <v>3221</v>
      </c>
      <c r="K1152" s="18" t="s">
        <v>830</v>
      </c>
      <c r="L1152" s="130">
        <v>2826</v>
      </c>
      <c r="M1152" s="130">
        <f>2826/7.5345</f>
        <v>375.07465657973319</v>
      </c>
      <c r="N1152" s="131">
        <v>1039</v>
      </c>
      <c r="O1152" s="131">
        <f>N1152/7.5345</f>
        <v>137.89899794279646</v>
      </c>
      <c r="P1152" s="132">
        <v>700</v>
      </c>
      <c r="Q1152" s="132">
        <v>700</v>
      </c>
      <c r="R1152" s="159">
        <v>850</v>
      </c>
      <c r="S1152" s="165"/>
      <c r="T1152" s="165"/>
      <c r="U1152" s="165"/>
      <c r="V1152" s="200">
        <v>1300</v>
      </c>
      <c r="W1152" s="200">
        <v>1300</v>
      </c>
      <c r="X1152" s="164">
        <v>1300</v>
      </c>
      <c r="Y1152" s="378">
        <v>1500</v>
      </c>
      <c r="Z1152" s="378"/>
      <c r="AA1152" s="370" t="e">
        <f t="shared" ca="1" si="692"/>
        <v>#NAME?</v>
      </c>
      <c r="AB1152" s="183"/>
      <c r="AC1152" s="178">
        <v>800</v>
      </c>
      <c r="AD1152" s="178">
        <v>800</v>
      </c>
      <c r="AE1152" s="178">
        <f>O1152/M1152*100</f>
        <v>36.765746638358102</v>
      </c>
      <c r="AF1152" s="178">
        <f t="shared" si="713"/>
        <v>507.61790182868145</v>
      </c>
      <c r="AG1152" s="178">
        <f t="shared" si="713"/>
        <v>100</v>
      </c>
      <c r="AH1152" s="178">
        <f>AC1152/Q1152*100</f>
        <v>114.28571428571428</v>
      </c>
      <c r="AI1152" s="183"/>
      <c r="AJ1152" s="378">
        <v>1500</v>
      </c>
      <c r="AK1152" s="171">
        <f t="shared" si="687"/>
        <v>152.94117647058823</v>
      </c>
      <c r="AL1152" s="171">
        <f t="shared" si="688"/>
        <v>100</v>
      </c>
      <c r="AM1152" s="171">
        <f t="shared" si="688"/>
        <v>115.38461538461537</v>
      </c>
      <c r="AN1152" s="165"/>
      <c r="AO1152" s="193"/>
      <c r="AP1152" s="193" t="e">
        <f t="shared" ca="1" si="693"/>
        <v>#NAME?</v>
      </c>
      <c r="AQ1152" s="200">
        <v>1467</v>
      </c>
      <c r="AR1152" s="204">
        <f t="shared" si="697"/>
        <v>152.94117647058823</v>
      </c>
      <c r="AS1152" s="204">
        <f t="shared" si="698"/>
        <v>100</v>
      </c>
      <c r="AT1152" s="204">
        <f t="shared" si="699"/>
        <v>152.94117647058823</v>
      </c>
      <c r="AU1152" s="204">
        <f t="shared" si="700"/>
        <v>112.84615384615384</v>
      </c>
      <c r="AV1152" s="204">
        <f t="shared" si="701"/>
        <v>172.58823529411765</v>
      </c>
    </row>
    <row r="1153" spans="1:48" ht="12" customHeight="1">
      <c r="A1153" s="53"/>
      <c r="B1153" s="53"/>
      <c r="C1153" s="53"/>
      <c r="D1153" s="53"/>
      <c r="E1153" s="53"/>
      <c r="F1153" s="53"/>
      <c r="G1153" s="53"/>
      <c r="H1153" s="1">
        <v>219</v>
      </c>
      <c r="I1153" s="397">
        <v>820</v>
      </c>
      <c r="J1153" s="229">
        <v>3224</v>
      </c>
      <c r="K1153" s="18" t="s">
        <v>863</v>
      </c>
      <c r="L1153" s="130">
        <v>792</v>
      </c>
      <c r="M1153" s="130">
        <f>792/7.5345</f>
        <v>105.11646426438382</v>
      </c>
      <c r="N1153" s="131">
        <v>2823</v>
      </c>
      <c r="O1153" s="131">
        <f>N1153/7.5345</f>
        <v>374.67648815448933</v>
      </c>
      <c r="P1153" s="132">
        <v>700</v>
      </c>
      <c r="Q1153" s="163">
        <v>1000</v>
      </c>
      <c r="R1153" s="159">
        <v>1580</v>
      </c>
      <c r="S1153" s="165"/>
      <c r="T1153" s="165"/>
      <c r="U1153" s="165"/>
      <c r="V1153" s="200">
        <v>1600</v>
      </c>
      <c r="W1153" s="200">
        <v>1600</v>
      </c>
      <c r="X1153" s="164">
        <v>1600</v>
      </c>
      <c r="Y1153" s="378">
        <v>1700</v>
      </c>
      <c r="Z1153" s="378"/>
      <c r="AA1153" s="370" t="e">
        <f t="shared" ca="1" si="692"/>
        <v>#NAME?</v>
      </c>
      <c r="AB1153" s="183"/>
      <c r="AC1153" s="178">
        <v>700</v>
      </c>
      <c r="AD1153" s="178">
        <v>700</v>
      </c>
      <c r="AE1153" s="178">
        <f>O1153/M1153*100</f>
        <v>356.43939393939399</v>
      </c>
      <c r="AF1153" s="178">
        <f t="shared" si="713"/>
        <v>186.82784272051009</v>
      </c>
      <c r="AG1153" s="178">
        <f t="shared" si="713"/>
        <v>142.85714285714286</v>
      </c>
      <c r="AH1153" s="178">
        <f>AC1153/Q1153*100</f>
        <v>70</v>
      </c>
      <c r="AI1153" s="183"/>
      <c r="AJ1153" s="378">
        <v>1700</v>
      </c>
      <c r="AK1153" s="171">
        <f t="shared" si="687"/>
        <v>101.26582278481013</v>
      </c>
      <c r="AL1153" s="171">
        <f t="shared" si="688"/>
        <v>100</v>
      </c>
      <c r="AM1153" s="171">
        <f t="shared" si="688"/>
        <v>106.25</v>
      </c>
      <c r="AN1153" s="165"/>
      <c r="AO1153" s="193"/>
      <c r="AP1153" s="193" t="e">
        <f t="shared" ca="1" si="693"/>
        <v>#NAME?</v>
      </c>
      <c r="AQ1153" s="200">
        <v>999</v>
      </c>
      <c r="AR1153" s="204">
        <f t="shared" si="697"/>
        <v>101.26582278481013</v>
      </c>
      <c r="AS1153" s="204">
        <f t="shared" si="698"/>
        <v>100</v>
      </c>
      <c r="AT1153" s="204">
        <f t="shared" si="699"/>
        <v>101.26582278481013</v>
      </c>
      <c r="AU1153" s="204">
        <f t="shared" si="700"/>
        <v>62.4375</v>
      </c>
      <c r="AV1153" s="204">
        <f t="shared" si="701"/>
        <v>63.227848101265828</v>
      </c>
    </row>
    <row r="1154" spans="1:48" ht="12" customHeight="1">
      <c r="A1154" s="69"/>
      <c r="B1154" s="69"/>
      <c r="C1154" s="69"/>
      <c r="D1154" s="69"/>
      <c r="E1154" s="69"/>
      <c r="F1154" s="69"/>
      <c r="G1154" s="69"/>
      <c r="H1154" s="1" t="s">
        <v>864</v>
      </c>
      <c r="I1154" s="397">
        <v>820</v>
      </c>
      <c r="J1154" s="229">
        <v>3225</v>
      </c>
      <c r="K1154" s="18" t="s">
        <v>353</v>
      </c>
      <c r="L1154" s="137">
        <v>0</v>
      </c>
      <c r="M1154" s="137">
        <v>0</v>
      </c>
      <c r="N1154" s="138">
        <v>2382</v>
      </c>
      <c r="O1154" s="131">
        <f>N1154/7.5345</f>
        <v>316.14572964363924</v>
      </c>
      <c r="P1154" s="139">
        <v>700</v>
      </c>
      <c r="Q1154" s="417">
        <v>1100</v>
      </c>
      <c r="R1154" s="137">
        <v>25</v>
      </c>
      <c r="S1154" s="139"/>
      <c r="T1154" s="139"/>
      <c r="U1154" s="139"/>
      <c r="V1154" s="200">
        <v>1000</v>
      </c>
      <c r="W1154" s="200">
        <v>1000</v>
      </c>
      <c r="X1154" s="166">
        <v>2500</v>
      </c>
      <c r="Y1154" s="425">
        <v>2500</v>
      </c>
      <c r="Z1154" s="425"/>
      <c r="AA1154" s="370" t="e">
        <f t="shared" ca="1" si="692"/>
        <v>#NAME?</v>
      </c>
      <c r="AB1154" s="184"/>
      <c r="AC1154" s="185">
        <v>800</v>
      </c>
      <c r="AD1154" s="185">
        <v>800</v>
      </c>
      <c r="AE1154" s="178"/>
      <c r="AF1154" s="178"/>
      <c r="AG1154" s="178"/>
      <c r="AH1154" s="178"/>
      <c r="AI1154" s="184"/>
      <c r="AJ1154" s="425">
        <v>2500</v>
      </c>
      <c r="AK1154" s="171">
        <f t="shared" si="687"/>
        <v>4000</v>
      </c>
      <c r="AL1154" s="171">
        <f t="shared" si="688"/>
        <v>250</v>
      </c>
      <c r="AM1154" s="171">
        <f t="shared" si="688"/>
        <v>100</v>
      </c>
      <c r="AN1154" s="139"/>
      <c r="AO1154" s="193"/>
      <c r="AP1154" s="193" t="e">
        <f t="shared" ca="1" si="693"/>
        <v>#NAME?</v>
      </c>
      <c r="AQ1154" s="200">
        <v>22</v>
      </c>
      <c r="AR1154" s="204">
        <f t="shared" si="697"/>
        <v>4000</v>
      </c>
      <c r="AS1154" s="204">
        <f t="shared" si="698"/>
        <v>100</v>
      </c>
      <c r="AT1154" s="204">
        <f t="shared" si="699"/>
        <v>4000</v>
      </c>
      <c r="AU1154" s="204">
        <f t="shared" si="700"/>
        <v>2.1999999999999997</v>
      </c>
      <c r="AV1154" s="204">
        <f t="shared" si="701"/>
        <v>88</v>
      </c>
    </row>
    <row r="1155" spans="1:48" ht="12" customHeight="1">
      <c r="A1155" s="69"/>
      <c r="B1155" s="69"/>
      <c r="C1155" s="69"/>
      <c r="D1155" s="69"/>
      <c r="E1155" s="69"/>
      <c r="F1155" s="69"/>
      <c r="G1155" s="69"/>
      <c r="H1155" s="1"/>
      <c r="I1155" s="397"/>
      <c r="J1155" s="229"/>
      <c r="K1155" s="18"/>
      <c r="L1155" s="137"/>
      <c r="M1155" s="137"/>
      <c r="N1155" s="138"/>
      <c r="O1155" s="138"/>
      <c r="P1155" s="139"/>
      <c r="Q1155" s="139"/>
      <c r="R1155" s="137"/>
      <c r="S1155" s="139"/>
      <c r="T1155" s="139"/>
      <c r="U1155" s="139"/>
      <c r="V1155" s="200"/>
      <c r="W1155" s="200"/>
      <c r="X1155" s="166"/>
      <c r="Y1155" s="425"/>
      <c r="Z1155" s="425"/>
      <c r="AA1155" s="370" t="e">
        <f t="shared" ca="1" si="692"/>
        <v>#NAME?</v>
      </c>
      <c r="AB1155" s="184"/>
      <c r="AC1155" s="185"/>
      <c r="AD1155" s="185"/>
      <c r="AE1155" s="178"/>
      <c r="AF1155" s="178"/>
      <c r="AG1155" s="178"/>
      <c r="AH1155" s="178"/>
      <c r="AI1155" s="184"/>
      <c r="AJ1155" s="425"/>
      <c r="AK1155" s="171"/>
      <c r="AL1155" s="171"/>
      <c r="AM1155" s="171"/>
      <c r="AN1155" s="139"/>
      <c r="AO1155" s="193"/>
      <c r="AP1155" s="193" t="e">
        <f t="shared" ca="1" si="693"/>
        <v>#NAME?</v>
      </c>
      <c r="AQ1155" s="200"/>
      <c r="AR1155" s="204"/>
      <c r="AS1155" s="204"/>
      <c r="AT1155" s="204"/>
      <c r="AU1155" s="204"/>
      <c r="AV1155" s="204"/>
    </row>
    <row r="1156" spans="1:48" ht="12" customHeight="1">
      <c r="A1156" s="62"/>
      <c r="B1156" s="62"/>
      <c r="C1156" s="62"/>
      <c r="D1156" s="62"/>
      <c r="E1156" s="62"/>
      <c r="F1156" s="62"/>
      <c r="G1156" s="62"/>
      <c r="H1156" s="304"/>
      <c r="I1156" s="464"/>
      <c r="J1156" s="303">
        <v>323</v>
      </c>
      <c r="K1156" s="19" t="s">
        <v>356</v>
      </c>
      <c r="L1156" s="112">
        <f t="shared" ref="L1156:S1156" si="714">L1157+L1158+L1159+L1160+L1161+L1162</f>
        <v>120891</v>
      </c>
      <c r="M1156" s="112">
        <f t="shared" si="714"/>
        <v>16044.993032052558</v>
      </c>
      <c r="N1156" s="113">
        <f t="shared" si="714"/>
        <v>73587</v>
      </c>
      <c r="O1156" s="113">
        <f t="shared" si="714"/>
        <v>9766.6733028070885</v>
      </c>
      <c r="P1156" s="114">
        <f t="shared" si="714"/>
        <v>16400</v>
      </c>
      <c r="Q1156" s="114">
        <f t="shared" si="714"/>
        <v>18900</v>
      </c>
      <c r="R1156" s="88">
        <f t="shared" si="714"/>
        <v>17566</v>
      </c>
      <c r="S1156" s="90">
        <f t="shared" si="714"/>
        <v>0</v>
      </c>
      <c r="T1156" s="90"/>
      <c r="U1156" s="90"/>
      <c r="V1156" s="200">
        <f>V1157+V1158+V1159+V1160+V1161+V1162</f>
        <v>81600</v>
      </c>
      <c r="W1156" s="200">
        <f>W1157+W1158+W1159+W1160+W1161+W1162</f>
        <v>81600</v>
      </c>
      <c r="X1156" s="88">
        <f>X1157+X1158+X1159+X1160+X1161+X1162</f>
        <v>90300</v>
      </c>
      <c r="Y1156" s="171">
        <f>Y1157+Y1158+Y1159+Y1160+Y1161+Y1162</f>
        <v>90400</v>
      </c>
      <c r="Z1156" s="171">
        <f>Z1157+Z1158+Z1159+Z1160+Z1161+Z1162</f>
        <v>0</v>
      </c>
      <c r="AA1156" s="370" t="e">
        <f t="shared" ca="1" si="692"/>
        <v>#NAME?</v>
      </c>
      <c r="AB1156" s="171"/>
      <c r="AC1156" s="172">
        <f>AC1157+AC1158+AC1159+AC1160+AC1161+AC1162</f>
        <v>16800</v>
      </c>
      <c r="AD1156" s="172">
        <f>AD1157+AD1158+AD1159+AD1160+AD1161+AD1162</f>
        <v>16800</v>
      </c>
      <c r="AE1156" s="178">
        <f>O1156/M1156*100</f>
        <v>60.870536268208561</v>
      </c>
      <c r="AF1156" s="178">
        <f>P1156/O1156*100</f>
        <v>167.91797464226016</v>
      </c>
      <c r="AG1156" s="178">
        <f>Q1156/P1156*100</f>
        <v>115.24390243902438</v>
      </c>
      <c r="AH1156" s="178">
        <f>AC1156/Q1156*100</f>
        <v>88.888888888888886</v>
      </c>
      <c r="AI1156" s="171"/>
      <c r="AJ1156" s="171">
        <v>90400</v>
      </c>
      <c r="AK1156" s="171">
        <f t="shared" si="687"/>
        <v>464.53375839690307</v>
      </c>
      <c r="AL1156" s="171">
        <f t="shared" si="688"/>
        <v>110.66176470588236</v>
      </c>
      <c r="AM1156" s="171">
        <f t="shared" si="688"/>
        <v>100.11074197120709</v>
      </c>
      <c r="AN1156" s="90"/>
      <c r="AO1156" s="193"/>
      <c r="AP1156" s="193" t="e">
        <f t="shared" ca="1" si="693"/>
        <v>#NAME?</v>
      </c>
      <c r="AQ1156" s="200">
        <f>AQ1157+AQ1158+AQ1159+AQ1160+AQ1161+AQ1162</f>
        <v>65980</v>
      </c>
      <c r="AR1156" s="204">
        <f t="shared" si="697"/>
        <v>464.53375839690307</v>
      </c>
      <c r="AS1156" s="204">
        <f t="shared" si="698"/>
        <v>100</v>
      </c>
      <c r="AT1156" s="204">
        <f t="shared" si="699"/>
        <v>464.53375839690307</v>
      </c>
      <c r="AU1156" s="204">
        <f t="shared" si="700"/>
        <v>80.857843137254903</v>
      </c>
      <c r="AV1156" s="204">
        <f t="shared" si="701"/>
        <v>375.61197768416258</v>
      </c>
    </row>
    <row r="1157" spans="1:48" ht="12" customHeight="1">
      <c r="A1157" s="53"/>
      <c r="B1157" s="53"/>
      <c r="C1157" s="53"/>
      <c r="D1157" s="53"/>
      <c r="E1157" s="53"/>
      <c r="F1157" s="53"/>
      <c r="G1157" s="53"/>
      <c r="H1157" s="1">
        <v>221</v>
      </c>
      <c r="I1157" s="397">
        <v>820</v>
      </c>
      <c r="J1157" s="229">
        <v>3231</v>
      </c>
      <c r="K1157" s="18" t="s">
        <v>834</v>
      </c>
      <c r="L1157" s="130">
        <v>6733</v>
      </c>
      <c r="M1157" s="130">
        <f>6733/7.5345</f>
        <v>893.62266905567719</v>
      </c>
      <c r="N1157" s="131">
        <v>7436</v>
      </c>
      <c r="O1157" s="131">
        <f t="shared" ref="O1157:O1162" si="715">N1157/7.5345</f>
        <v>986.92680337115928</v>
      </c>
      <c r="P1157" s="132">
        <v>1100</v>
      </c>
      <c r="Q1157" s="132">
        <v>1100</v>
      </c>
      <c r="R1157" s="159">
        <v>1067</v>
      </c>
      <c r="S1157" s="165"/>
      <c r="T1157" s="165"/>
      <c r="U1157" s="165"/>
      <c r="V1157" s="200">
        <v>1500</v>
      </c>
      <c r="W1157" s="200">
        <v>1500</v>
      </c>
      <c r="X1157" s="164">
        <v>1600</v>
      </c>
      <c r="Y1157" s="378">
        <v>1600</v>
      </c>
      <c r="Z1157" s="378"/>
      <c r="AA1157" s="370" t="e">
        <f t="shared" ca="1" si="692"/>
        <v>#NAME?</v>
      </c>
      <c r="AB1157" s="183"/>
      <c r="AC1157" s="178">
        <v>1200</v>
      </c>
      <c r="AD1157" s="178">
        <v>1200</v>
      </c>
      <c r="AE1157" s="178">
        <f>O1157/M1157*100</f>
        <v>110.44111094608644</v>
      </c>
      <c r="AF1157" s="178">
        <f>P1157/O1157*100</f>
        <v>111.45710059171599</v>
      </c>
      <c r="AG1157" s="178">
        <f>Q1157/P1157*100</f>
        <v>100</v>
      </c>
      <c r="AH1157" s="178">
        <f>AC1157/Q1157*100</f>
        <v>109.09090909090908</v>
      </c>
      <c r="AI1157" s="183"/>
      <c r="AJ1157" s="378">
        <v>1600</v>
      </c>
      <c r="AK1157" s="171">
        <f t="shared" si="687"/>
        <v>140.58106841611996</v>
      </c>
      <c r="AL1157" s="171">
        <f t="shared" si="688"/>
        <v>106.66666666666667</v>
      </c>
      <c r="AM1157" s="171">
        <f t="shared" si="688"/>
        <v>100</v>
      </c>
      <c r="AN1157" s="165"/>
      <c r="AO1157" s="193"/>
      <c r="AP1157" s="193" t="e">
        <f t="shared" ca="1" si="693"/>
        <v>#NAME?</v>
      </c>
      <c r="AQ1157" s="200">
        <v>1174</v>
      </c>
      <c r="AR1157" s="204">
        <f t="shared" si="697"/>
        <v>140.58106841611996</v>
      </c>
      <c r="AS1157" s="204">
        <f t="shared" si="698"/>
        <v>100</v>
      </c>
      <c r="AT1157" s="204">
        <f t="shared" si="699"/>
        <v>140.58106841611996</v>
      </c>
      <c r="AU1157" s="204">
        <f t="shared" si="700"/>
        <v>78.266666666666666</v>
      </c>
      <c r="AV1157" s="204">
        <f t="shared" si="701"/>
        <v>110.02811621368322</v>
      </c>
    </row>
    <row r="1158" spans="1:48" ht="12" customHeight="1">
      <c r="A1158" s="53"/>
      <c r="B1158" s="53"/>
      <c r="C1158" s="53"/>
      <c r="D1158" s="53"/>
      <c r="E1158" s="53"/>
      <c r="F1158" s="53"/>
      <c r="G1158" s="53"/>
      <c r="H1158" s="1">
        <v>222</v>
      </c>
      <c r="I1158" s="397">
        <v>820</v>
      </c>
      <c r="J1158" s="229">
        <v>3232</v>
      </c>
      <c r="K1158" s="18" t="s">
        <v>835</v>
      </c>
      <c r="L1158" s="130">
        <v>0</v>
      </c>
      <c r="M1158" s="130">
        <v>0</v>
      </c>
      <c r="N1158" s="131">
        <v>0</v>
      </c>
      <c r="O1158" s="131">
        <f t="shared" si="715"/>
        <v>0</v>
      </c>
      <c r="P1158" s="132">
        <v>300</v>
      </c>
      <c r="Q1158" s="132">
        <v>300</v>
      </c>
      <c r="R1158" s="159">
        <v>751</v>
      </c>
      <c r="S1158" s="165"/>
      <c r="T1158" s="165"/>
      <c r="U1158" s="165"/>
      <c r="V1158" s="200">
        <v>300</v>
      </c>
      <c r="W1158" s="200">
        <v>300</v>
      </c>
      <c r="X1158" s="164">
        <v>400</v>
      </c>
      <c r="Y1158" s="378">
        <v>500</v>
      </c>
      <c r="Z1158" s="378"/>
      <c r="AA1158" s="370" t="e">
        <f t="shared" ca="1" si="692"/>
        <v>#NAME?</v>
      </c>
      <c r="AB1158" s="183"/>
      <c r="AC1158" s="178">
        <v>400</v>
      </c>
      <c r="AD1158" s="178">
        <v>400</v>
      </c>
      <c r="AE1158" s="178"/>
      <c r="AF1158" s="178"/>
      <c r="AG1158" s="178"/>
      <c r="AH1158" s="178"/>
      <c r="AI1158" s="183"/>
      <c r="AJ1158" s="378">
        <v>500</v>
      </c>
      <c r="AK1158" s="171">
        <f t="shared" si="687"/>
        <v>39.946737683089211</v>
      </c>
      <c r="AL1158" s="171">
        <f t="shared" si="688"/>
        <v>133.33333333333331</v>
      </c>
      <c r="AM1158" s="171">
        <f t="shared" si="688"/>
        <v>125</v>
      </c>
      <c r="AN1158" s="165"/>
      <c r="AO1158" s="193"/>
      <c r="AP1158" s="193" t="e">
        <f t="shared" ca="1" si="693"/>
        <v>#NAME?</v>
      </c>
      <c r="AQ1158" s="200">
        <v>1428</v>
      </c>
      <c r="AR1158" s="204">
        <f t="shared" si="697"/>
        <v>39.946737683089211</v>
      </c>
      <c r="AS1158" s="204">
        <f t="shared" si="698"/>
        <v>100</v>
      </c>
      <c r="AT1158" s="204">
        <f t="shared" si="699"/>
        <v>39.946737683089211</v>
      </c>
      <c r="AU1158" s="204">
        <f t="shared" si="700"/>
        <v>476</v>
      </c>
      <c r="AV1158" s="204">
        <f t="shared" si="701"/>
        <v>190.14647137150467</v>
      </c>
    </row>
    <row r="1159" spans="1:48" ht="12" customHeight="1">
      <c r="A1159" s="53"/>
      <c r="B1159" s="53"/>
      <c r="C1159" s="53"/>
      <c r="D1159" s="53"/>
      <c r="E1159" s="53"/>
      <c r="F1159" s="53"/>
      <c r="G1159" s="53"/>
      <c r="H1159" s="1"/>
      <c r="I1159" s="397">
        <v>820</v>
      </c>
      <c r="J1159" s="229">
        <v>3234</v>
      </c>
      <c r="K1159" s="18" t="s">
        <v>250</v>
      </c>
      <c r="L1159" s="130">
        <v>0</v>
      </c>
      <c r="M1159" s="130">
        <v>0</v>
      </c>
      <c r="N1159" s="131">
        <v>0</v>
      </c>
      <c r="O1159" s="131">
        <f t="shared" si="715"/>
        <v>0</v>
      </c>
      <c r="P1159" s="132">
        <v>200</v>
      </c>
      <c r="Q1159" s="132">
        <v>200</v>
      </c>
      <c r="R1159" s="159">
        <v>121</v>
      </c>
      <c r="S1159" s="165"/>
      <c r="T1159" s="165"/>
      <c r="U1159" s="165"/>
      <c r="V1159" s="200">
        <v>200</v>
      </c>
      <c r="W1159" s="200">
        <v>200</v>
      </c>
      <c r="X1159" s="164">
        <v>300</v>
      </c>
      <c r="Y1159" s="378">
        <v>300</v>
      </c>
      <c r="Z1159" s="378"/>
      <c r="AA1159" s="370" t="e">
        <f t="shared" ca="1" si="692"/>
        <v>#NAME?</v>
      </c>
      <c r="AB1159" s="183"/>
      <c r="AC1159" s="178">
        <v>300</v>
      </c>
      <c r="AD1159" s="178">
        <v>300</v>
      </c>
      <c r="AE1159" s="178"/>
      <c r="AF1159" s="178"/>
      <c r="AG1159" s="178"/>
      <c r="AH1159" s="178"/>
      <c r="AI1159" s="183"/>
      <c r="AJ1159" s="378">
        <v>300</v>
      </c>
      <c r="AK1159" s="171">
        <f t="shared" si="687"/>
        <v>165.28925619834712</v>
      </c>
      <c r="AL1159" s="171">
        <f t="shared" si="688"/>
        <v>150</v>
      </c>
      <c r="AM1159" s="171">
        <f t="shared" si="688"/>
        <v>100</v>
      </c>
      <c r="AN1159" s="165"/>
      <c r="AO1159" s="193"/>
      <c r="AP1159" s="193" t="e">
        <f t="shared" ca="1" si="693"/>
        <v>#NAME?</v>
      </c>
      <c r="AQ1159" s="200">
        <v>112</v>
      </c>
      <c r="AR1159" s="204">
        <f t="shared" si="697"/>
        <v>165.28925619834712</v>
      </c>
      <c r="AS1159" s="204">
        <f t="shared" si="698"/>
        <v>100</v>
      </c>
      <c r="AT1159" s="204">
        <f t="shared" si="699"/>
        <v>165.28925619834712</v>
      </c>
      <c r="AU1159" s="204">
        <f t="shared" si="700"/>
        <v>56.000000000000007</v>
      </c>
      <c r="AV1159" s="204">
        <f t="shared" si="701"/>
        <v>92.561983471074385</v>
      </c>
    </row>
    <row r="1160" spans="1:48" ht="12" customHeight="1">
      <c r="A1160" s="53"/>
      <c r="B1160" s="53"/>
      <c r="C1160" s="53"/>
      <c r="D1160" s="53"/>
      <c r="E1160" s="53"/>
      <c r="F1160" s="53"/>
      <c r="G1160" s="53"/>
      <c r="H1160" s="1">
        <v>227</v>
      </c>
      <c r="I1160" s="397">
        <v>820</v>
      </c>
      <c r="J1160" s="229">
        <v>3237</v>
      </c>
      <c r="K1160" s="18" t="s">
        <v>253</v>
      </c>
      <c r="L1160" s="130">
        <v>84734</v>
      </c>
      <c r="M1160" s="130">
        <f>84734/7.5345</f>
        <v>11246.134448204923</v>
      </c>
      <c r="N1160" s="131">
        <v>44853</v>
      </c>
      <c r="O1160" s="131">
        <f t="shared" si="715"/>
        <v>5953.016125821222</v>
      </c>
      <c r="P1160" s="132">
        <v>10700</v>
      </c>
      <c r="Q1160" s="132">
        <v>10700</v>
      </c>
      <c r="R1160" s="159">
        <v>9141</v>
      </c>
      <c r="S1160" s="165"/>
      <c r="T1160" s="165"/>
      <c r="U1160" s="165"/>
      <c r="V1160" s="200">
        <v>50000</v>
      </c>
      <c r="W1160" s="200">
        <v>50000</v>
      </c>
      <c r="X1160" s="164">
        <v>50000</v>
      </c>
      <c r="Y1160" s="378">
        <v>50000</v>
      </c>
      <c r="Z1160" s="378"/>
      <c r="AA1160" s="370" t="e">
        <f t="shared" ca="1" si="692"/>
        <v>#NAME?</v>
      </c>
      <c r="AB1160" s="183"/>
      <c r="AC1160" s="178">
        <v>10500</v>
      </c>
      <c r="AD1160" s="178">
        <v>10500</v>
      </c>
      <c r="AE1160" s="178">
        <f>O1160/M1160*100</f>
        <v>52.933887223546627</v>
      </c>
      <c r="AF1160" s="178">
        <f t="shared" ref="AF1160:AG1162" si="716">P1160/O1160*100</f>
        <v>179.74082001203934</v>
      </c>
      <c r="AG1160" s="178">
        <f t="shared" si="716"/>
        <v>100</v>
      </c>
      <c r="AH1160" s="178">
        <f>AC1160/Q1160*100</f>
        <v>98.130841121495322</v>
      </c>
      <c r="AI1160" s="183"/>
      <c r="AJ1160" s="378">
        <v>50000</v>
      </c>
      <c r="AK1160" s="171">
        <f t="shared" si="687"/>
        <v>546.9861065528936</v>
      </c>
      <c r="AL1160" s="171">
        <f t="shared" si="688"/>
        <v>100</v>
      </c>
      <c r="AM1160" s="171">
        <f t="shared" si="688"/>
        <v>100</v>
      </c>
      <c r="AN1160" s="165"/>
      <c r="AO1160" s="193"/>
      <c r="AP1160" s="193" t="e">
        <f t="shared" ca="1" si="693"/>
        <v>#NAME?</v>
      </c>
      <c r="AQ1160" s="200">
        <v>37893</v>
      </c>
      <c r="AR1160" s="204">
        <f t="shared" si="697"/>
        <v>546.9861065528936</v>
      </c>
      <c r="AS1160" s="204">
        <f t="shared" si="698"/>
        <v>100</v>
      </c>
      <c r="AT1160" s="204">
        <f t="shared" si="699"/>
        <v>546.9861065528936</v>
      </c>
      <c r="AU1160" s="204">
        <f t="shared" si="700"/>
        <v>75.786000000000001</v>
      </c>
      <c r="AV1160" s="204">
        <f t="shared" si="701"/>
        <v>414.53889071217588</v>
      </c>
    </row>
    <row r="1161" spans="1:48" ht="12" customHeight="1">
      <c r="A1161" s="53"/>
      <c r="B1161" s="53"/>
      <c r="C1161" s="53"/>
      <c r="D1161" s="53"/>
      <c r="E1161" s="53"/>
      <c r="F1161" s="53"/>
      <c r="G1161" s="53"/>
      <c r="H1161" s="1">
        <v>228</v>
      </c>
      <c r="I1161" s="397">
        <v>820</v>
      </c>
      <c r="J1161" s="229">
        <v>3238</v>
      </c>
      <c r="K1161" s="18" t="s">
        <v>254</v>
      </c>
      <c r="L1161" s="130">
        <v>9420</v>
      </c>
      <c r="M1161" s="130">
        <f>9420/7.5345</f>
        <v>1250.2488552657774</v>
      </c>
      <c r="N1161" s="131">
        <v>9919</v>
      </c>
      <c r="O1161" s="131">
        <f t="shared" si="715"/>
        <v>1316.4775366646757</v>
      </c>
      <c r="P1161" s="132">
        <v>1400</v>
      </c>
      <c r="Q1161" s="163">
        <v>1600</v>
      </c>
      <c r="R1161" s="159">
        <v>1573</v>
      </c>
      <c r="S1161" s="165"/>
      <c r="T1161" s="165"/>
      <c r="U1161" s="165"/>
      <c r="V1161" s="200">
        <v>4600</v>
      </c>
      <c r="W1161" s="200">
        <v>4600</v>
      </c>
      <c r="X1161" s="164">
        <v>3000</v>
      </c>
      <c r="Y1161" s="378">
        <v>3000</v>
      </c>
      <c r="Z1161" s="378"/>
      <c r="AA1161" s="370" t="e">
        <f t="shared" ca="1" si="692"/>
        <v>#NAME?</v>
      </c>
      <c r="AB1161" s="183"/>
      <c r="AC1161" s="178">
        <v>1500</v>
      </c>
      <c r="AD1161" s="178">
        <v>1500</v>
      </c>
      <c r="AE1161" s="178">
        <f>O1161/M1161*100</f>
        <v>105.29723991507429</v>
      </c>
      <c r="AF1161" s="178">
        <f t="shared" si="716"/>
        <v>106.34438955539873</v>
      </c>
      <c r="AG1161" s="178">
        <f t="shared" si="716"/>
        <v>114.28571428571428</v>
      </c>
      <c r="AH1161" s="178">
        <f>AC1161/Q1161*100</f>
        <v>93.75</v>
      </c>
      <c r="AI1161" s="183"/>
      <c r="AJ1161" s="378">
        <v>3000</v>
      </c>
      <c r="AK1161" s="171">
        <f t="shared" si="687"/>
        <v>292.43483788938335</v>
      </c>
      <c r="AL1161" s="171">
        <f t="shared" si="688"/>
        <v>65.217391304347828</v>
      </c>
      <c r="AM1161" s="171">
        <f t="shared" si="688"/>
        <v>100</v>
      </c>
      <c r="AN1161" s="165"/>
      <c r="AO1161" s="193"/>
      <c r="AP1161" s="193" t="e">
        <f t="shared" ca="1" si="693"/>
        <v>#NAME?</v>
      </c>
      <c r="AQ1161" s="200">
        <v>1573</v>
      </c>
      <c r="AR1161" s="204">
        <f t="shared" si="697"/>
        <v>292.43483788938335</v>
      </c>
      <c r="AS1161" s="204">
        <f t="shared" si="698"/>
        <v>100</v>
      </c>
      <c r="AT1161" s="204">
        <f t="shared" si="699"/>
        <v>292.43483788938335</v>
      </c>
      <c r="AU1161" s="204">
        <f t="shared" si="700"/>
        <v>34.195652173913047</v>
      </c>
      <c r="AV1161" s="204">
        <f t="shared" si="701"/>
        <v>100</v>
      </c>
    </row>
    <row r="1162" spans="1:48" ht="12" customHeight="1">
      <c r="A1162" s="53"/>
      <c r="B1162" s="53"/>
      <c r="C1162" s="53"/>
      <c r="D1162" s="53"/>
      <c r="E1162" s="53"/>
      <c r="F1162" s="53"/>
      <c r="G1162" s="53"/>
      <c r="H1162" s="1">
        <v>229</v>
      </c>
      <c r="I1162" s="345">
        <v>820</v>
      </c>
      <c r="J1162" s="229">
        <v>3239</v>
      </c>
      <c r="K1162" s="456" t="s">
        <v>255</v>
      </c>
      <c r="L1162" s="130">
        <v>20004</v>
      </c>
      <c r="M1162" s="130">
        <f>20004/7.5345</f>
        <v>2654.9870595261796</v>
      </c>
      <c r="N1162" s="131">
        <v>11379</v>
      </c>
      <c r="O1162" s="131">
        <f t="shared" si="715"/>
        <v>1510.2528369500299</v>
      </c>
      <c r="P1162" s="132">
        <v>2700</v>
      </c>
      <c r="Q1162" s="163">
        <v>5000</v>
      </c>
      <c r="R1162" s="159">
        <v>4913</v>
      </c>
      <c r="S1162" s="165"/>
      <c r="T1162" s="165"/>
      <c r="U1162" s="165"/>
      <c r="V1162" s="200">
        <v>25000</v>
      </c>
      <c r="W1162" s="200">
        <v>25000</v>
      </c>
      <c r="X1162" s="164">
        <v>35000</v>
      </c>
      <c r="Y1162" s="378">
        <v>35000</v>
      </c>
      <c r="Z1162" s="378"/>
      <c r="AA1162" s="370" t="e">
        <f t="shared" ca="1" si="692"/>
        <v>#NAME?</v>
      </c>
      <c r="AB1162" s="183"/>
      <c r="AC1162" s="178">
        <v>2900</v>
      </c>
      <c r="AD1162" s="178">
        <v>2900</v>
      </c>
      <c r="AE1162" s="178">
        <f>O1162/M1162*100</f>
        <v>56.883623275344931</v>
      </c>
      <c r="AF1162" s="178">
        <f t="shared" si="716"/>
        <v>178.77801212760346</v>
      </c>
      <c r="AG1162" s="178">
        <f t="shared" si="716"/>
        <v>185.18518518518519</v>
      </c>
      <c r="AH1162" s="178">
        <f>AC1162/Q1162*100</f>
        <v>57.999999999999993</v>
      </c>
      <c r="AI1162" s="183"/>
      <c r="AJ1162" s="378">
        <v>35000</v>
      </c>
      <c r="AK1162" s="171">
        <f t="shared" si="687"/>
        <v>508.854060655404</v>
      </c>
      <c r="AL1162" s="171">
        <f t="shared" si="688"/>
        <v>140</v>
      </c>
      <c r="AM1162" s="171">
        <f t="shared" si="688"/>
        <v>100</v>
      </c>
      <c r="AN1162" s="165"/>
      <c r="AO1162" s="193"/>
      <c r="AP1162" s="193" t="e">
        <f t="shared" ca="1" si="693"/>
        <v>#NAME?</v>
      </c>
      <c r="AQ1162" s="200">
        <v>23800</v>
      </c>
      <c r="AR1162" s="204">
        <f t="shared" si="697"/>
        <v>508.854060655404</v>
      </c>
      <c r="AS1162" s="204">
        <f t="shared" si="698"/>
        <v>100</v>
      </c>
      <c r="AT1162" s="204">
        <f t="shared" si="699"/>
        <v>508.854060655404</v>
      </c>
      <c r="AU1162" s="204">
        <f t="shared" si="700"/>
        <v>95.199999999999989</v>
      </c>
      <c r="AV1162" s="204">
        <f t="shared" si="701"/>
        <v>484.42906574394459</v>
      </c>
    </row>
    <row r="1163" spans="1:48" ht="12" customHeight="1">
      <c r="A1163" s="42"/>
      <c r="B1163" s="42"/>
      <c r="C1163" s="42"/>
      <c r="D1163" s="42"/>
      <c r="E1163" s="42"/>
      <c r="F1163" s="42"/>
      <c r="G1163" s="42"/>
      <c r="H1163" s="308"/>
      <c r="I1163" s="14"/>
      <c r="J1163" s="2"/>
      <c r="K1163" s="84"/>
      <c r="L1163" s="85"/>
      <c r="M1163" s="85"/>
      <c r="N1163" s="86"/>
      <c r="O1163" s="86"/>
      <c r="P1163" s="87"/>
      <c r="Q1163" s="87"/>
      <c r="R1163" s="160"/>
      <c r="S1163" s="161"/>
      <c r="T1163" s="161"/>
      <c r="U1163" s="161"/>
      <c r="V1163" s="200"/>
      <c r="W1163" s="200"/>
      <c r="X1163" s="361"/>
      <c r="Y1163" s="373"/>
      <c r="Z1163" s="373"/>
      <c r="AA1163" s="370" t="e">
        <f t="shared" ca="1" si="692"/>
        <v>#NAME?</v>
      </c>
      <c r="AB1163" s="181"/>
      <c r="AC1163" s="182"/>
      <c r="AD1163" s="182"/>
      <c r="AE1163" s="178"/>
      <c r="AF1163" s="178"/>
      <c r="AG1163" s="178"/>
      <c r="AH1163" s="178"/>
      <c r="AI1163" s="181"/>
      <c r="AJ1163" s="373"/>
      <c r="AK1163" s="171"/>
      <c r="AL1163" s="171"/>
      <c r="AM1163" s="171"/>
      <c r="AN1163" s="161"/>
      <c r="AO1163" s="193"/>
      <c r="AP1163" s="193" t="e">
        <f t="shared" ca="1" si="693"/>
        <v>#NAME?</v>
      </c>
      <c r="AQ1163" s="200"/>
      <c r="AR1163" s="204"/>
      <c r="AS1163" s="204"/>
      <c r="AT1163" s="204"/>
      <c r="AU1163" s="204"/>
      <c r="AV1163" s="204"/>
    </row>
    <row r="1164" spans="1:48" ht="12" customHeight="1">
      <c r="A1164" s="62"/>
      <c r="B1164" s="62"/>
      <c r="C1164" s="62"/>
      <c r="D1164" s="62"/>
      <c r="E1164" s="62"/>
      <c r="F1164" s="62"/>
      <c r="G1164" s="62"/>
      <c r="H1164" s="304"/>
      <c r="I1164" s="464"/>
      <c r="J1164" s="303">
        <v>329</v>
      </c>
      <c r="K1164" s="19" t="s">
        <v>839</v>
      </c>
      <c r="L1164" s="112">
        <f t="shared" ref="L1164:S1164" si="717">L1165+L1166+L1167</f>
        <v>77375</v>
      </c>
      <c r="M1164" s="112">
        <f t="shared" si="717"/>
        <v>10269.427301081691</v>
      </c>
      <c r="N1164" s="113">
        <f t="shared" si="717"/>
        <v>23926</v>
      </c>
      <c r="O1164" s="113">
        <f t="shared" si="717"/>
        <v>3175.5259141283432</v>
      </c>
      <c r="P1164" s="114">
        <f t="shared" si="717"/>
        <v>6700</v>
      </c>
      <c r="Q1164" s="114">
        <f t="shared" si="717"/>
        <v>4900</v>
      </c>
      <c r="R1164" s="88">
        <f t="shared" si="717"/>
        <v>7109</v>
      </c>
      <c r="S1164" s="90">
        <f t="shared" si="717"/>
        <v>0</v>
      </c>
      <c r="T1164" s="90"/>
      <c r="U1164" s="90"/>
      <c r="V1164" s="200">
        <f>V1165+V1166+V1167</f>
        <v>7900</v>
      </c>
      <c r="W1164" s="200">
        <f>W1165+W1166+W1167</f>
        <v>7900</v>
      </c>
      <c r="X1164" s="88">
        <f>X1165+X1166+X1167</f>
        <v>12000</v>
      </c>
      <c r="Y1164" s="171">
        <f>Y1165+Y1166+Y1167</f>
        <v>12100</v>
      </c>
      <c r="Z1164" s="171">
        <f>Z1165+Z1166+Z1167</f>
        <v>0</v>
      </c>
      <c r="AA1164" s="370" t="e">
        <f t="shared" ca="1" si="692"/>
        <v>#NAME?</v>
      </c>
      <c r="AB1164" s="171"/>
      <c r="AC1164" s="172">
        <f>AC1165+AC1166+AC1167</f>
        <v>6700</v>
      </c>
      <c r="AD1164" s="172">
        <f>AD1165+AD1166+AD1167</f>
        <v>6700</v>
      </c>
      <c r="AE1164" s="178">
        <f>O1164/M1164*100</f>
        <v>30.922132471728599</v>
      </c>
      <c r="AF1164" s="178">
        <f t="shared" ref="AF1164:AG1166" si="718">P1164/O1164*100</f>
        <v>210.98867340967985</v>
      </c>
      <c r="AG1164" s="178">
        <f t="shared" si="718"/>
        <v>73.134328358208961</v>
      </c>
      <c r="AH1164" s="178">
        <f>AC1164/Q1164*100</f>
        <v>136.73469387755102</v>
      </c>
      <c r="AI1164" s="171"/>
      <c r="AJ1164" s="171">
        <v>12100</v>
      </c>
      <c r="AK1164" s="171">
        <f t="shared" si="687"/>
        <v>111.1267407511605</v>
      </c>
      <c r="AL1164" s="171">
        <f t="shared" si="688"/>
        <v>151.8987341772152</v>
      </c>
      <c r="AM1164" s="171">
        <f t="shared" si="688"/>
        <v>100.83333333333333</v>
      </c>
      <c r="AN1164" s="90"/>
      <c r="AO1164" s="193"/>
      <c r="AP1164" s="193" t="e">
        <f t="shared" ca="1" si="693"/>
        <v>#NAME?</v>
      </c>
      <c r="AQ1164" s="200">
        <f>AQ1165+AQ1166+AQ1167</f>
        <v>9050</v>
      </c>
      <c r="AR1164" s="204">
        <f t="shared" si="697"/>
        <v>111.1267407511605</v>
      </c>
      <c r="AS1164" s="204">
        <f t="shared" si="698"/>
        <v>100</v>
      </c>
      <c r="AT1164" s="204">
        <f t="shared" si="699"/>
        <v>111.1267407511605</v>
      </c>
      <c r="AU1164" s="204">
        <f t="shared" si="700"/>
        <v>114.55696202531647</v>
      </c>
      <c r="AV1164" s="204">
        <f t="shared" si="701"/>
        <v>127.30341820227879</v>
      </c>
    </row>
    <row r="1165" spans="1:48" ht="12" customHeight="1">
      <c r="A1165" s="53"/>
      <c r="B1165" s="53"/>
      <c r="C1165" s="53"/>
      <c r="D1165" s="53"/>
      <c r="E1165" s="53"/>
      <c r="F1165" s="53"/>
      <c r="G1165" s="53"/>
      <c r="H1165" s="1" t="s">
        <v>865</v>
      </c>
      <c r="I1165" s="397">
        <v>820</v>
      </c>
      <c r="J1165" s="229">
        <v>3292</v>
      </c>
      <c r="K1165" s="18" t="s">
        <v>866</v>
      </c>
      <c r="L1165" s="130">
        <v>6200</v>
      </c>
      <c r="M1165" s="130">
        <f>6200/7.5345</f>
        <v>822.88141217068153</v>
      </c>
      <c r="N1165" s="131">
        <v>3542</v>
      </c>
      <c r="O1165" s="131">
        <f>N1165/7.5345</f>
        <v>470.10418740460545</v>
      </c>
      <c r="P1165" s="132">
        <v>1300</v>
      </c>
      <c r="Q1165" s="163">
        <v>500</v>
      </c>
      <c r="R1165" s="159">
        <v>470</v>
      </c>
      <c r="S1165" s="165"/>
      <c r="T1165" s="165"/>
      <c r="U1165" s="165"/>
      <c r="V1165" s="200">
        <v>1000</v>
      </c>
      <c r="W1165" s="200">
        <v>1000</v>
      </c>
      <c r="X1165" s="164">
        <v>1500</v>
      </c>
      <c r="Y1165" s="378">
        <v>1600</v>
      </c>
      <c r="Z1165" s="378"/>
      <c r="AA1165" s="370" t="e">
        <f t="shared" ca="1" si="692"/>
        <v>#NAME?</v>
      </c>
      <c r="AB1165" s="183"/>
      <c r="AC1165" s="178">
        <v>1300</v>
      </c>
      <c r="AD1165" s="178">
        <v>1300</v>
      </c>
      <c r="AE1165" s="178">
        <f>O1165/M1165*100</f>
        <v>57.129032258064512</v>
      </c>
      <c r="AF1165" s="178">
        <f t="shared" si="718"/>
        <v>276.53444381705253</v>
      </c>
      <c r="AG1165" s="178">
        <f t="shared" si="718"/>
        <v>38.461538461538467</v>
      </c>
      <c r="AH1165" s="178">
        <f>AC1165/Q1165*100</f>
        <v>260</v>
      </c>
      <c r="AI1165" s="183"/>
      <c r="AJ1165" s="378">
        <v>1600</v>
      </c>
      <c r="AK1165" s="171">
        <f t="shared" si="687"/>
        <v>212.7659574468085</v>
      </c>
      <c r="AL1165" s="171">
        <f t="shared" si="688"/>
        <v>150</v>
      </c>
      <c r="AM1165" s="171">
        <f t="shared" si="688"/>
        <v>106.66666666666667</v>
      </c>
      <c r="AN1165" s="165"/>
      <c r="AO1165" s="193"/>
      <c r="AP1165" s="193" t="e">
        <f t="shared" ca="1" si="693"/>
        <v>#NAME?</v>
      </c>
      <c r="AQ1165" s="200">
        <v>1055</v>
      </c>
      <c r="AR1165" s="204">
        <f t="shared" si="697"/>
        <v>212.7659574468085</v>
      </c>
      <c r="AS1165" s="204">
        <f t="shared" si="698"/>
        <v>100</v>
      </c>
      <c r="AT1165" s="204">
        <f t="shared" si="699"/>
        <v>212.7659574468085</v>
      </c>
      <c r="AU1165" s="204">
        <f t="shared" si="700"/>
        <v>105.5</v>
      </c>
      <c r="AV1165" s="204">
        <f t="shared" si="701"/>
        <v>224.468085106383</v>
      </c>
    </row>
    <row r="1166" spans="1:48" ht="12" customHeight="1">
      <c r="A1166" s="53"/>
      <c r="B1166" s="53"/>
      <c r="C1166" s="53"/>
      <c r="D1166" s="53"/>
      <c r="E1166" s="53"/>
      <c r="F1166" s="53"/>
      <c r="G1166" s="53"/>
      <c r="H1166" s="1" t="s">
        <v>867</v>
      </c>
      <c r="I1166" s="397">
        <v>820</v>
      </c>
      <c r="J1166" s="229">
        <v>3293</v>
      </c>
      <c r="K1166" s="18" t="s">
        <v>260</v>
      </c>
      <c r="L1166" s="130">
        <v>2207</v>
      </c>
      <c r="M1166" s="130">
        <f>2207/7.5345</f>
        <v>292.91923817107966</v>
      </c>
      <c r="N1166" s="131">
        <v>3226</v>
      </c>
      <c r="O1166" s="131">
        <f>N1166/7.5345</f>
        <v>428.1637799455836</v>
      </c>
      <c r="P1166" s="132">
        <v>400</v>
      </c>
      <c r="Q1166" s="132">
        <v>400</v>
      </c>
      <c r="R1166" s="159">
        <v>437</v>
      </c>
      <c r="S1166" s="165"/>
      <c r="T1166" s="165"/>
      <c r="U1166" s="165"/>
      <c r="V1166" s="200">
        <v>400</v>
      </c>
      <c r="W1166" s="200">
        <v>400</v>
      </c>
      <c r="X1166" s="164">
        <v>500</v>
      </c>
      <c r="Y1166" s="378">
        <v>500</v>
      </c>
      <c r="Z1166" s="378"/>
      <c r="AA1166" s="370" t="e">
        <f t="shared" ca="1" si="692"/>
        <v>#NAME?</v>
      </c>
      <c r="AB1166" s="183"/>
      <c r="AC1166" s="178">
        <v>400</v>
      </c>
      <c r="AD1166" s="178">
        <v>400</v>
      </c>
      <c r="AE1166" s="178">
        <f>O1166/M1166*100</f>
        <v>146.17127322156776</v>
      </c>
      <c r="AF1166" s="178">
        <f t="shared" si="718"/>
        <v>93.422194668319918</v>
      </c>
      <c r="AG1166" s="178">
        <f t="shared" si="718"/>
        <v>100</v>
      </c>
      <c r="AH1166" s="178">
        <f>AC1166/Q1166*100</f>
        <v>100</v>
      </c>
      <c r="AI1166" s="183"/>
      <c r="AJ1166" s="378">
        <v>500</v>
      </c>
      <c r="AK1166" s="171">
        <f t="shared" si="687"/>
        <v>91.533180778032047</v>
      </c>
      <c r="AL1166" s="171">
        <f t="shared" si="688"/>
        <v>125</v>
      </c>
      <c r="AM1166" s="171">
        <f t="shared" si="688"/>
        <v>100</v>
      </c>
      <c r="AN1166" s="165"/>
      <c r="AO1166" s="193"/>
      <c r="AP1166" s="193" t="e">
        <f t="shared" ca="1" si="693"/>
        <v>#NAME?</v>
      </c>
      <c r="AQ1166" s="200">
        <v>411</v>
      </c>
      <c r="AR1166" s="204">
        <f t="shared" si="697"/>
        <v>91.533180778032047</v>
      </c>
      <c r="AS1166" s="204">
        <f t="shared" si="698"/>
        <v>100</v>
      </c>
      <c r="AT1166" s="204">
        <f t="shared" si="699"/>
        <v>91.533180778032047</v>
      </c>
      <c r="AU1166" s="204">
        <f t="shared" si="700"/>
        <v>102.75000000000001</v>
      </c>
      <c r="AV1166" s="204">
        <f t="shared" si="701"/>
        <v>94.050343249427911</v>
      </c>
    </row>
    <row r="1167" spans="1:48" ht="12" customHeight="1">
      <c r="A1167" s="53"/>
      <c r="B1167" s="53"/>
      <c r="C1167" s="53"/>
      <c r="D1167" s="53"/>
      <c r="E1167" s="53"/>
      <c r="F1167" s="53"/>
      <c r="G1167" s="53"/>
      <c r="H1167" s="1">
        <v>230</v>
      </c>
      <c r="I1167" s="397">
        <v>820</v>
      </c>
      <c r="J1167" s="229">
        <v>3299</v>
      </c>
      <c r="K1167" s="18" t="s">
        <v>815</v>
      </c>
      <c r="L1167" s="130">
        <v>68968</v>
      </c>
      <c r="M1167" s="130">
        <f>68968/7.5345</f>
        <v>9153.6266507399287</v>
      </c>
      <c r="N1167" s="131">
        <v>17158</v>
      </c>
      <c r="O1167" s="131">
        <f>N1167/7.5345</f>
        <v>2277.2579467781538</v>
      </c>
      <c r="P1167" s="132">
        <v>5000</v>
      </c>
      <c r="Q1167" s="163">
        <v>4000</v>
      </c>
      <c r="R1167" s="159">
        <v>6202</v>
      </c>
      <c r="S1167" s="165"/>
      <c r="T1167" s="165"/>
      <c r="U1167" s="165"/>
      <c r="V1167" s="200">
        <v>6500</v>
      </c>
      <c r="W1167" s="200">
        <v>6500</v>
      </c>
      <c r="X1167" s="164">
        <v>10000</v>
      </c>
      <c r="Y1167" s="378">
        <v>10000</v>
      </c>
      <c r="Z1167" s="378"/>
      <c r="AA1167" s="370" t="e">
        <f t="shared" ca="1" si="692"/>
        <v>#NAME?</v>
      </c>
      <c r="AB1167" s="183"/>
      <c r="AC1167" s="178">
        <v>5000</v>
      </c>
      <c r="AD1167" s="178">
        <v>5000</v>
      </c>
      <c r="AE1167" s="178">
        <f>O1167/M1167*100</f>
        <v>24.878204384642157</v>
      </c>
      <c r="AF1167" s="178"/>
      <c r="AG1167" s="178"/>
      <c r="AH1167" s="178"/>
      <c r="AI1167" s="183"/>
      <c r="AJ1167" s="378">
        <v>10000</v>
      </c>
      <c r="AK1167" s="171">
        <f t="shared" si="687"/>
        <v>104.80490164463076</v>
      </c>
      <c r="AL1167" s="171">
        <f t="shared" si="688"/>
        <v>153.84615384615387</v>
      </c>
      <c r="AM1167" s="171">
        <f t="shared" si="688"/>
        <v>100</v>
      </c>
      <c r="AN1167" s="165"/>
      <c r="AO1167" s="193"/>
      <c r="AP1167" s="193" t="e">
        <f t="shared" ca="1" si="693"/>
        <v>#NAME?</v>
      </c>
      <c r="AQ1167" s="200">
        <v>7584</v>
      </c>
      <c r="AR1167" s="204">
        <f t="shared" si="697"/>
        <v>104.80490164463076</v>
      </c>
      <c r="AS1167" s="204">
        <f t="shared" si="698"/>
        <v>100</v>
      </c>
      <c r="AT1167" s="204">
        <f t="shared" si="699"/>
        <v>104.80490164463076</v>
      </c>
      <c r="AU1167" s="204">
        <f t="shared" si="700"/>
        <v>116.67692307692307</v>
      </c>
      <c r="AV1167" s="204">
        <f t="shared" si="701"/>
        <v>122.28313447275072</v>
      </c>
    </row>
    <row r="1168" spans="1:48" ht="12" customHeight="1">
      <c r="A1168" s="42"/>
      <c r="B1168" s="42"/>
      <c r="C1168" s="42"/>
      <c r="D1168" s="42"/>
      <c r="E1168" s="42"/>
      <c r="F1168" s="42"/>
      <c r="G1168" s="42"/>
      <c r="H1168" s="308"/>
      <c r="I1168" s="14"/>
      <c r="J1168" s="2"/>
      <c r="K1168" s="281"/>
      <c r="L1168" s="85"/>
      <c r="M1168" s="85"/>
      <c r="N1168" s="86"/>
      <c r="O1168" s="86"/>
      <c r="P1168" s="87"/>
      <c r="Q1168" s="87"/>
      <c r="R1168" s="160"/>
      <c r="S1168" s="161"/>
      <c r="T1168" s="161"/>
      <c r="U1168" s="161"/>
      <c r="V1168" s="200"/>
      <c r="W1168" s="200"/>
      <c r="X1168" s="361"/>
      <c r="Y1168" s="373"/>
      <c r="Z1168" s="373"/>
      <c r="AA1168" s="370" t="e">
        <f t="shared" ca="1" si="692"/>
        <v>#NAME?</v>
      </c>
      <c r="AB1168" s="181"/>
      <c r="AC1168" s="182"/>
      <c r="AD1168" s="182"/>
      <c r="AE1168" s="178"/>
      <c r="AF1168" s="178"/>
      <c r="AG1168" s="178"/>
      <c r="AH1168" s="178"/>
      <c r="AI1168" s="181"/>
      <c r="AJ1168" s="373"/>
      <c r="AK1168" s="171"/>
      <c r="AL1168" s="171"/>
      <c r="AM1168" s="171"/>
      <c r="AN1168" s="161"/>
      <c r="AO1168" s="193"/>
      <c r="AP1168" s="193" t="e">
        <f t="shared" ca="1" si="693"/>
        <v>#NAME?</v>
      </c>
      <c r="AQ1168" s="200"/>
      <c r="AR1168" s="204"/>
      <c r="AS1168" s="204"/>
      <c r="AT1168" s="204"/>
      <c r="AU1168" s="204"/>
      <c r="AV1168" s="204"/>
    </row>
    <row r="1169" spans="1:48" ht="12" customHeight="1">
      <c r="A1169" s="301"/>
      <c r="B1169" s="301"/>
      <c r="C1169" s="301"/>
      <c r="D1169" s="301"/>
      <c r="E1169" s="301"/>
      <c r="F1169" s="301"/>
      <c r="G1169" s="301"/>
      <c r="H1169" s="567"/>
      <c r="I1169" s="570"/>
      <c r="J1169" s="571">
        <v>34</v>
      </c>
      <c r="K1169" s="572" t="s">
        <v>264</v>
      </c>
      <c r="L1169" s="335">
        <f t="shared" ref="L1169:AD1170" si="719">L1170</f>
        <v>3379</v>
      </c>
      <c r="M1169" s="335">
        <f t="shared" si="719"/>
        <v>448.47036963302139</v>
      </c>
      <c r="N1169" s="336">
        <f t="shared" si="719"/>
        <v>2930</v>
      </c>
      <c r="O1169" s="336">
        <f t="shared" si="719"/>
        <v>388.87782865485434</v>
      </c>
      <c r="P1169" s="337">
        <f t="shared" si="719"/>
        <v>500</v>
      </c>
      <c r="Q1169" s="337">
        <f t="shared" si="719"/>
        <v>700</v>
      </c>
      <c r="R1169" s="359">
        <f t="shared" si="719"/>
        <v>509</v>
      </c>
      <c r="S1169" s="360">
        <f t="shared" si="719"/>
        <v>0</v>
      </c>
      <c r="T1169" s="360"/>
      <c r="U1169" s="360"/>
      <c r="V1169" s="200">
        <f>V1170</f>
        <v>700</v>
      </c>
      <c r="W1169" s="200">
        <f t="shared" si="719"/>
        <v>700</v>
      </c>
      <c r="X1169" s="359">
        <f t="shared" si="719"/>
        <v>750</v>
      </c>
      <c r="Y1169" s="371">
        <f t="shared" si="719"/>
        <v>750</v>
      </c>
      <c r="Z1169" s="371">
        <f t="shared" si="719"/>
        <v>0</v>
      </c>
      <c r="AA1169" s="370" t="e">
        <f t="shared" ca="1" si="692"/>
        <v>#NAME?</v>
      </c>
      <c r="AB1169" s="371"/>
      <c r="AC1169" s="372">
        <f t="shared" si="719"/>
        <v>500</v>
      </c>
      <c r="AD1169" s="372">
        <f t="shared" si="719"/>
        <v>500</v>
      </c>
      <c r="AE1169" s="178">
        <f>O1169/M1169*100</f>
        <v>86.712044983723004</v>
      </c>
      <c r="AF1169" s="178">
        <f t="shared" ref="AF1169:AG1171" si="720">P1169/O1169*100</f>
        <v>128.57508532423208</v>
      </c>
      <c r="AG1169" s="178">
        <f t="shared" si="720"/>
        <v>140</v>
      </c>
      <c r="AH1169" s="178">
        <f>AC1169/Q1169*100</f>
        <v>71.428571428571431</v>
      </c>
      <c r="AI1169" s="371"/>
      <c r="AJ1169" s="371">
        <v>750</v>
      </c>
      <c r="AK1169" s="171">
        <f t="shared" si="687"/>
        <v>137.52455795677801</v>
      </c>
      <c r="AL1169" s="171">
        <f t="shared" si="688"/>
        <v>107.14285714285714</v>
      </c>
      <c r="AM1169" s="171">
        <f t="shared" si="688"/>
        <v>100</v>
      </c>
      <c r="AN1169" s="360"/>
      <c r="AO1169" s="193"/>
      <c r="AP1169" s="193" t="e">
        <f t="shared" ca="1" si="693"/>
        <v>#NAME?</v>
      </c>
      <c r="AQ1169" s="200">
        <f>AQ1170</f>
        <v>459</v>
      </c>
      <c r="AR1169" s="204">
        <f t="shared" si="697"/>
        <v>137.52455795677801</v>
      </c>
      <c r="AS1169" s="204">
        <f t="shared" si="698"/>
        <v>100</v>
      </c>
      <c r="AT1169" s="204">
        <f t="shared" si="699"/>
        <v>137.52455795677801</v>
      </c>
      <c r="AU1169" s="204">
        <f t="shared" si="700"/>
        <v>65.571428571428569</v>
      </c>
      <c r="AV1169" s="204">
        <f t="shared" si="701"/>
        <v>90.176817288801573</v>
      </c>
    </row>
    <row r="1170" spans="1:48" ht="12" customHeight="1">
      <c r="A1170" s="62"/>
      <c r="B1170" s="62"/>
      <c r="C1170" s="62"/>
      <c r="D1170" s="62"/>
      <c r="E1170" s="62"/>
      <c r="F1170" s="62"/>
      <c r="G1170" s="62"/>
      <c r="H1170" s="304"/>
      <c r="I1170" s="464"/>
      <c r="J1170" s="303">
        <v>343</v>
      </c>
      <c r="K1170" s="19" t="s">
        <v>435</v>
      </c>
      <c r="L1170" s="112">
        <f t="shared" si="719"/>
        <v>3379</v>
      </c>
      <c r="M1170" s="112">
        <f t="shared" si="719"/>
        <v>448.47036963302139</v>
      </c>
      <c r="N1170" s="113">
        <f t="shared" si="719"/>
        <v>2930</v>
      </c>
      <c r="O1170" s="113">
        <f t="shared" si="719"/>
        <v>388.87782865485434</v>
      </c>
      <c r="P1170" s="114">
        <f t="shared" si="719"/>
        <v>500</v>
      </c>
      <c r="Q1170" s="114">
        <f t="shared" si="719"/>
        <v>700</v>
      </c>
      <c r="R1170" s="88">
        <f t="shared" si="719"/>
        <v>509</v>
      </c>
      <c r="S1170" s="90">
        <f t="shared" si="719"/>
        <v>0</v>
      </c>
      <c r="T1170" s="90"/>
      <c r="U1170" s="90"/>
      <c r="V1170" s="200">
        <f>V1171</f>
        <v>700</v>
      </c>
      <c r="W1170" s="200">
        <f t="shared" si="719"/>
        <v>700</v>
      </c>
      <c r="X1170" s="88">
        <f t="shared" si="719"/>
        <v>750</v>
      </c>
      <c r="Y1170" s="171">
        <f t="shared" si="719"/>
        <v>750</v>
      </c>
      <c r="Z1170" s="171">
        <f t="shared" si="719"/>
        <v>0</v>
      </c>
      <c r="AA1170" s="370" t="e">
        <f t="shared" ca="1" si="692"/>
        <v>#NAME?</v>
      </c>
      <c r="AB1170" s="171"/>
      <c r="AC1170" s="172">
        <f t="shared" si="719"/>
        <v>500</v>
      </c>
      <c r="AD1170" s="172">
        <f t="shared" si="719"/>
        <v>500</v>
      </c>
      <c r="AE1170" s="178">
        <f>O1170/M1170*100</f>
        <v>86.712044983723004</v>
      </c>
      <c r="AF1170" s="178">
        <f t="shared" si="720"/>
        <v>128.57508532423208</v>
      </c>
      <c r="AG1170" s="178">
        <f t="shared" si="720"/>
        <v>140</v>
      </c>
      <c r="AH1170" s="178">
        <f>AC1170/Q1170*100</f>
        <v>71.428571428571431</v>
      </c>
      <c r="AI1170" s="171"/>
      <c r="AJ1170" s="171">
        <v>750</v>
      </c>
      <c r="AK1170" s="171">
        <f t="shared" si="687"/>
        <v>137.52455795677801</v>
      </c>
      <c r="AL1170" s="171">
        <f t="shared" si="688"/>
        <v>107.14285714285714</v>
      </c>
      <c r="AM1170" s="171">
        <f t="shared" si="688"/>
        <v>100</v>
      </c>
      <c r="AN1170" s="90"/>
      <c r="AO1170" s="193"/>
      <c r="AP1170" s="193" t="e">
        <f t="shared" ca="1" si="693"/>
        <v>#NAME?</v>
      </c>
      <c r="AQ1170" s="200">
        <f>AQ1171</f>
        <v>459</v>
      </c>
      <c r="AR1170" s="204">
        <f t="shared" si="697"/>
        <v>137.52455795677801</v>
      </c>
      <c r="AS1170" s="204">
        <f t="shared" si="698"/>
        <v>100</v>
      </c>
      <c r="AT1170" s="204">
        <f t="shared" si="699"/>
        <v>137.52455795677801</v>
      </c>
      <c r="AU1170" s="204">
        <f t="shared" si="700"/>
        <v>65.571428571428569</v>
      </c>
      <c r="AV1170" s="204">
        <f t="shared" si="701"/>
        <v>90.176817288801573</v>
      </c>
    </row>
    <row r="1171" spans="1:48" ht="12" customHeight="1">
      <c r="A1171" s="53"/>
      <c r="B1171" s="53"/>
      <c r="C1171" s="53"/>
      <c r="D1171" s="53"/>
      <c r="E1171" s="53"/>
      <c r="F1171" s="53"/>
      <c r="G1171" s="53"/>
      <c r="H1171" s="1">
        <v>233</v>
      </c>
      <c r="I1171" s="397">
        <v>820</v>
      </c>
      <c r="J1171" s="229">
        <v>3431</v>
      </c>
      <c r="K1171" s="18" t="s">
        <v>842</v>
      </c>
      <c r="L1171" s="130">
        <v>3379</v>
      </c>
      <c r="M1171" s="130">
        <f>3379/7.5345</f>
        <v>448.47036963302139</v>
      </c>
      <c r="N1171" s="131">
        <v>2930</v>
      </c>
      <c r="O1171" s="131">
        <f>N1171/7.5345</f>
        <v>388.87782865485434</v>
      </c>
      <c r="P1171" s="132">
        <v>500</v>
      </c>
      <c r="Q1171" s="163">
        <v>700</v>
      </c>
      <c r="R1171" s="159">
        <v>509</v>
      </c>
      <c r="S1171" s="165"/>
      <c r="T1171" s="165"/>
      <c r="U1171" s="165"/>
      <c r="V1171" s="200">
        <v>700</v>
      </c>
      <c r="W1171" s="200">
        <v>700</v>
      </c>
      <c r="X1171" s="164">
        <v>750</v>
      </c>
      <c r="Y1171" s="378">
        <v>750</v>
      </c>
      <c r="Z1171" s="378"/>
      <c r="AA1171" s="370" t="e">
        <f t="shared" ca="1" si="692"/>
        <v>#NAME?</v>
      </c>
      <c r="AB1171" s="183"/>
      <c r="AC1171" s="178">
        <v>500</v>
      </c>
      <c r="AD1171" s="178">
        <v>500</v>
      </c>
      <c r="AE1171" s="178">
        <f>O1171/M1171*100</f>
        <v>86.712044983723004</v>
      </c>
      <c r="AF1171" s="178">
        <f t="shared" si="720"/>
        <v>128.57508532423208</v>
      </c>
      <c r="AG1171" s="178">
        <f t="shared" si="720"/>
        <v>140</v>
      </c>
      <c r="AH1171" s="178">
        <f>AC1171/Q1171*100</f>
        <v>71.428571428571431</v>
      </c>
      <c r="AI1171" s="183"/>
      <c r="AJ1171" s="378">
        <v>750</v>
      </c>
      <c r="AK1171" s="171">
        <f t="shared" si="687"/>
        <v>137.52455795677801</v>
      </c>
      <c r="AL1171" s="171">
        <f t="shared" si="688"/>
        <v>107.14285714285714</v>
      </c>
      <c r="AM1171" s="171">
        <f t="shared" si="688"/>
        <v>100</v>
      </c>
      <c r="AN1171" s="165"/>
      <c r="AO1171" s="193"/>
      <c r="AP1171" s="193" t="e">
        <f t="shared" ca="1" si="693"/>
        <v>#NAME?</v>
      </c>
      <c r="AQ1171" s="200">
        <v>459</v>
      </c>
      <c r="AR1171" s="204">
        <f t="shared" si="697"/>
        <v>137.52455795677801</v>
      </c>
      <c r="AS1171" s="204">
        <f t="shared" si="698"/>
        <v>100</v>
      </c>
      <c r="AT1171" s="204">
        <f t="shared" si="699"/>
        <v>137.52455795677801</v>
      </c>
      <c r="AU1171" s="204">
        <f t="shared" si="700"/>
        <v>65.571428571428569</v>
      </c>
      <c r="AV1171" s="204">
        <f t="shared" si="701"/>
        <v>90.176817288801573</v>
      </c>
    </row>
    <row r="1172" spans="1:48" ht="12" customHeight="1">
      <c r="A1172" s="53"/>
      <c r="B1172" s="53"/>
      <c r="C1172" s="53"/>
      <c r="D1172" s="53"/>
      <c r="E1172" s="53"/>
      <c r="F1172" s="53"/>
      <c r="G1172" s="53"/>
      <c r="H1172" s="1"/>
      <c r="I1172" s="397"/>
      <c r="J1172" s="229"/>
      <c r="K1172" s="18"/>
      <c r="L1172" s="130"/>
      <c r="M1172" s="130"/>
      <c r="N1172" s="131"/>
      <c r="O1172" s="131"/>
      <c r="P1172" s="132"/>
      <c r="Q1172" s="132"/>
      <c r="R1172" s="159"/>
      <c r="S1172" s="165"/>
      <c r="T1172" s="165"/>
      <c r="U1172" s="165"/>
      <c r="V1172" s="200"/>
      <c r="W1172" s="200"/>
      <c r="X1172" s="164"/>
      <c r="Y1172" s="378"/>
      <c r="Z1172" s="378"/>
      <c r="AA1172" s="370" t="e">
        <f t="shared" ca="1" si="692"/>
        <v>#NAME?</v>
      </c>
      <c r="AB1172" s="183"/>
      <c r="AC1172" s="178"/>
      <c r="AD1172" s="178"/>
      <c r="AE1172" s="178"/>
      <c r="AF1172" s="178"/>
      <c r="AG1172" s="178"/>
      <c r="AH1172" s="178"/>
      <c r="AI1172" s="183"/>
      <c r="AJ1172" s="378"/>
      <c r="AK1172" s="171"/>
      <c r="AL1172" s="171"/>
      <c r="AM1172" s="171"/>
      <c r="AN1172" s="165"/>
      <c r="AO1172" s="193"/>
      <c r="AP1172" s="193" t="e">
        <f t="shared" ca="1" si="693"/>
        <v>#NAME?</v>
      </c>
      <c r="AQ1172" s="200"/>
      <c r="AR1172" s="204"/>
      <c r="AS1172" s="204"/>
      <c r="AT1172" s="204"/>
      <c r="AU1172" s="204"/>
      <c r="AV1172" s="204"/>
    </row>
    <row r="1173" spans="1:48" ht="12" customHeight="1">
      <c r="A1173" s="390" t="s">
        <v>366</v>
      </c>
      <c r="B1173" s="391"/>
      <c r="C1173" s="391"/>
      <c r="D1173" s="391"/>
      <c r="E1173" s="391"/>
      <c r="F1173" s="391"/>
      <c r="G1173" s="391"/>
      <c r="H1173" s="435"/>
      <c r="I1173" s="482" t="s">
        <v>868</v>
      </c>
      <c r="J1173" s="483"/>
      <c r="K1173" s="484"/>
      <c r="L1173" s="335">
        <f t="shared" ref="L1173:S1173" si="721">L1175</f>
        <v>0</v>
      </c>
      <c r="M1173" s="335">
        <f t="shared" si="721"/>
        <v>0</v>
      </c>
      <c r="N1173" s="336">
        <f t="shared" si="721"/>
        <v>50000</v>
      </c>
      <c r="O1173" s="336">
        <f t="shared" si="721"/>
        <v>6636.1404207313026</v>
      </c>
      <c r="P1173" s="337">
        <f t="shared" si="721"/>
        <v>6700</v>
      </c>
      <c r="Q1173" s="337">
        <f t="shared" si="721"/>
        <v>39400</v>
      </c>
      <c r="R1173" s="359">
        <f t="shared" si="721"/>
        <v>38371</v>
      </c>
      <c r="S1173" s="360">
        <f t="shared" si="721"/>
        <v>0</v>
      </c>
      <c r="T1173" s="360"/>
      <c r="U1173" s="360"/>
      <c r="V1173" s="200">
        <f>V1175</f>
        <v>46000</v>
      </c>
      <c r="W1173" s="200">
        <f>W1175</f>
        <v>46000</v>
      </c>
      <c r="X1173" s="359">
        <f>X1175</f>
        <v>50000</v>
      </c>
      <c r="Y1173" s="371">
        <f>Y1175</f>
        <v>50000</v>
      </c>
      <c r="Z1173" s="371">
        <f>Z1175</f>
        <v>0</v>
      </c>
      <c r="AA1173" s="370" t="e">
        <f t="shared" ca="1" si="692"/>
        <v>#NAME?</v>
      </c>
      <c r="AB1173" s="371"/>
      <c r="AC1173" s="372">
        <f>AC1175</f>
        <v>10000</v>
      </c>
      <c r="AD1173" s="372">
        <f>AD1175</f>
        <v>10000</v>
      </c>
      <c r="AE1173" s="178"/>
      <c r="AF1173" s="178">
        <f>P1173/O1173*100</f>
        <v>100.9623</v>
      </c>
      <c r="AG1173" s="178">
        <f>Q1173/P1173*100</f>
        <v>588.05970149253733</v>
      </c>
      <c r="AH1173" s="178">
        <f>AC1173/Q1173*100</f>
        <v>25.380710659898476</v>
      </c>
      <c r="AI1173" s="371"/>
      <c r="AJ1173" s="371">
        <v>50000</v>
      </c>
      <c r="AK1173" s="171">
        <f t="shared" si="687"/>
        <v>119.88220270516796</v>
      </c>
      <c r="AL1173" s="171">
        <f t="shared" si="688"/>
        <v>108.69565217391303</v>
      </c>
      <c r="AM1173" s="171">
        <f t="shared" si="688"/>
        <v>100</v>
      </c>
      <c r="AN1173" s="360"/>
      <c r="AO1173" s="193"/>
      <c r="AP1173" s="193" t="e">
        <f t="shared" ca="1" si="693"/>
        <v>#NAME?</v>
      </c>
      <c r="AQ1173" s="200">
        <f>AQ1175</f>
        <v>45995</v>
      </c>
      <c r="AR1173" s="204">
        <f t="shared" si="697"/>
        <v>119.88220270516796</v>
      </c>
      <c r="AS1173" s="204">
        <f t="shared" si="698"/>
        <v>100</v>
      </c>
      <c r="AT1173" s="204">
        <f t="shared" si="699"/>
        <v>119.88220270516796</v>
      </c>
      <c r="AU1173" s="204">
        <f t="shared" si="700"/>
        <v>99.989130434782609</v>
      </c>
      <c r="AV1173" s="204">
        <f t="shared" si="701"/>
        <v>119.86917203096088</v>
      </c>
    </row>
    <row r="1174" spans="1:48" ht="12" customHeight="1">
      <c r="A1174" s="53"/>
      <c r="B1174" s="53"/>
      <c r="C1174" s="53"/>
      <c r="D1174" s="53"/>
      <c r="E1174" s="53"/>
      <c r="F1174" s="53"/>
      <c r="G1174" s="53"/>
      <c r="H1174" s="1"/>
      <c r="I1174" s="397"/>
      <c r="J1174" s="229"/>
      <c r="K1174" s="18"/>
      <c r="L1174" s="466"/>
      <c r="M1174" s="466"/>
      <c r="N1174" s="467"/>
      <c r="O1174" s="467"/>
      <c r="P1174" s="468"/>
      <c r="Q1174" s="468"/>
      <c r="R1174" s="282"/>
      <c r="S1174" s="222"/>
      <c r="T1174" s="222"/>
      <c r="U1174" s="222"/>
      <c r="V1174" s="200"/>
      <c r="W1174" s="200"/>
      <c r="X1174" s="167"/>
      <c r="Y1174" s="424"/>
      <c r="Z1174" s="424"/>
      <c r="AA1174" s="370" t="e">
        <f t="shared" ca="1" si="692"/>
        <v>#NAME?</v>
      </c>
      <c r="AB1174" s="223"/>
      <c r="AC1174" s="224"/>
      <c r="AD1174" s="224"/>
      <c r="AE1174" s="178"/>
      <c r="AF1174" s="178"/>
      <c r="AG1174" s="178"/>
      <c r="AH1174" s="178"/>
      <c r="AI1174" s="223"/>
      <c r="AJ1174" s="424"/>
      <c r="AK1174" s="171"/>
      <c r="AL1174" s="171"/>
      <c r="AM1174" s="171"/>
      <c r="AN1174" s="222"/>
      <c r="AO1174" s="193"/>
      <c r="AP1174" s="193" t="e">
        <f t="shared" ca="1" si="693"/>
        <v>#NAME?</v>
      </c>
      <c r="AQ1174" s="200"/>
      <c r="AR1174" s="204"/>
      <c r="AS1174" s="204"/>
      <c r="AT1174" s="204"/>
      <c r="AU1174" s="204"/>
      <c r="AV1174" s="204"/>
    </row>
    <row r="1175" spans="1:48" ht="12" customHeight="1">
      <c r="A1175" s="24"/>
      <c r="B1175" s="24"/>
      <c r="C1175" s="24"/>
      <c r="D1175" s="24"/>
      <c r="E1175" s="24"/>
      <c r="F1175" s="24"/>
      <c r="G1175" s="24"/>
      <c r="H1175" s="393"/>
      <c r="I1175" s="465"/>
      <c r="J1175" s="281">
        <v>3</v>
      </c>
      <c r="K1175" s="2" t="s">
        <v>224</v>
      </c>
      <c r="L1175" s="112">
        <f t="shared" ref="L1175:AD1176" si="722">L1176</f>
        <v>0</v>
      </c>
      <c r="M1175" s="112">
        <f t="shared" si="722"/>
        <v>0</v>
      </c>
      <c r="N1175" s="113">
        <f t="shared" si="722"/>
        <v>50000</v>
      </c>
      <c r="O1175" s="113">
        <f t="shared" si="722"/>
        <v>6636.1404207313026</v>
      </c>
      <c r="P1175" s="114">
        <f t="shared" si="722"/>
        <v>6700</v>
      </c>
      <c r="Q1175" s="114">
        <f t="shared" si="722"/>
        <v>39400</v>
      </c>
      <c r="R1175" s="88">
        <f t="shared" si="722"/>
        <v>38371</v>
      </c>
      <c r="S1175" s="90">
        <f t="shared" si="722"/>
        <v>0</v>
      </c>
      <c r="T1175" s="90"/>
      <c r="U1175" s="90"/>
      <c r="V1175" s="200">
        <f>V1176</f>
        <v>46000</v>
      </c>
      <c r="W1175" s="200">
        <f t="shared" si="722"/>
        <v>46000</v>
      </c>
      <c r="X1175" s="88">
        <f t="shared" si="722"/>
        <v>50000</v>
      </c>
      <c r="Y1175" s="171">
        <f t="shared" si="722"/>
        <v>50000</v>
      </c>
      <c r="Z1175" s="171">
        <f t="shared" si="722"/>
        <v>0</v>
      </c>
      <c r="AA1175" s="370" t="e">
        <f t="shared" ca="1" si="692"/>
        <v>#NAME?</v>
      </c>
      <c r="AB1175" s="171"/>
      <c r="AC1175" s="172">
        <f t="shared" si="722"/>
        <v>10000</v>
      </c>
      <c r="AD1175" s="172">
        <f t="shared" si="722"/>
        <v>10000</v>
      </c>
      <c r="AE1175" s="178"/>
      <c r="AF1175" s="178">
        <f t="shared" ref="AF1175:AG1177" si="723">P1175/O1175*100</f>
        <v>100.9623</v>
      </c>
      <c r="AG1175" s="178">
        <f t="shared" si="723"/>
        <v>588.05970149253733</v>
      </c>
      <c r="AH1175" s="178">
        <f>AC1175/Q1175*100</f>
        <v>25.380710659898476</v>
      </c>
      <c r="AI1175" s="171"/>
      <c r="AJ1175" s="171">
        <v>50000</v>
      </c>
      <c r="AK1175" s="171">
        <f t="shared" ref="AK1175:AK1219" si="724">W1175/R1175*100</f>
        <v>119.88220270516796</v>
      </c>
      <c r="AL1175" s="171">
        <f t="shared" ref="AL1175:AM1212" si="725">X1175/W1175*100</f>
        <v>108.69565217391303</v>
      </c>
      <c r="AM1175" s="171">
        <f t="shared" si="725"/>
        <v>100</v>
      </c>
      <c r="AN1175" s="90"/>
      <c r="AO1175" s="193"/>
      <c r="AP1175" s="193" t="e">
        <f t="shared" ca="1" si="693"/>
        <v>#NAME?</v>
      </c>
      <c r="AQ1175" s="200">
        <f>AQ1176</f>
        <v>45995</v>
      </c>
      <c r="AR1175" s="204">
        <f t="shared" si="697"/>
        <v>119.88220270516796</v>
      </c>
      <c r="AS1175" s="204">
        <f t="shared" si="698"/>
        <v>100</v>
      </c>
      <c r="AT1175" s="204">
        <f t="shared" si="699"/>
        <v>119.88220270516796</v>
      </c>
      <c r="AU1175" s="204">
        <f t="shared" si="700"/>
        <v>99.989130434782609</v>
      </c>
      <c r="AV1175" s="204">
        <f t="shared" si="701"/>
        <v>119.86917203096088</v>
      </c>
    </row>
    <row r="1176" spans="1:48" ht="12" customHeight="1">
      <c r="A1176" s="301"/>
      <c r="B1176" s="301"/>
      <c r="C1176" s="301"/>
      <c r="D1176" s="301"/>
      <c r="E1176" s="301"/>
      <c r="F1176" s="301"/>
      <c r="G1176" s="301"/>
      <c r="H1176" s="307"/>
      <c r="I1176" s="350"/>
      <c r="J1176" s="302">
        <v>32</v>
      </c>
      <c r="K1176" s="343" t="s">
        <v>233</v>
      </c>
      <c r="L1176" s="112">
        <f t="shared" si="722"/>
        <v>0</v>
      </c>
      <c r="M1176" s="112">
        <f t="shared" si="722"/>
        <v>0</v>
      </c>
      <c r="N1176" s="113">
        <f t="shared" si="722"/>
        <v>50000</v>
      </c>
      <c r="O1176" s="113">
        <f t="shared" si="722"/>
        <v>6636.1404207313026</v>
      </c>
      <c r="P1176" s="114">
        <f t="shared" si="722"/>
        <v>6700</v>
      </c>
      <c r="Q1176" s="114">
        <f t="shared" si="722"/>
        <v>39400</v>
      </c>
      <c r="R1176" s="88">
        <f t="shared" si="722"/>
        <v>38371</v>
      </c>
      <c r="S1176" s="90">
        <f t="shared" si="722"/>
        <v>0</v>
      </c>
      <c r="T1176" s="90"/>
      <c r="U1176" s="90"/>
      <c r="V1176" s="200">
        <f>V1177</f>
        <v>46000</v>
      </c>
      <c r="W1176" s="200">
        <f t="shared" si="722"/>
        <v>46000</v>
      </c>
      <c r="X1176" s="88">
        <f t="shared" si="722"/>
        <v>50000</v>
      </c>
      <c r="Y1176" s="171">
        <f t="shared" si="722"/>
        <v>50000</v>
      </c>
      <c r="Z1176" s="171">
        <f t="shared" si="722"/>
        <v>0</v>
      </c>
      <c r="AA1176" s="370" t="e">
        <f t="shared" ca="1" si="692"/>
        <v>#NAME?</v>
      </c>
      <c r="AB1176" s="171"/>
      <c r="AC1176" s="172">
        <f t="shared" si="722"/>
        <v>10000</v>
      </c>
      <c r="AD1176" s="172">
        <f t="shared" si="722"/>
        <v>10000</v>
      </c>
      <c r="AE1176" s="178"/>
      <c r="AF1176" s="178">
        <f t="shared" si="723"/>
        <v>100.9623</v>
      </c>
      <c r="AG1176" s="178">
        <f t="shared" si="723"/>
        <v>588.05970149253733</v>
      </c>
      <c r="AH1176" s="178">
        <f>AC1176/Q1176*100</f>
        <v>25.380710659898476</v>
      </c>
      <c r="AI1176" s="171"/>
      <c r="AJ1176" s="171">
        <v>50000</v>
      </c>
      <c r="AK1176" s="171">
        <f t="shared" si="724"/>
        <v>119.88220270516796</v>
      </c>
      <c r="AL1176" s="171">
        <f t="shared" si="725"/>
        <v>108.69565217391303</v>
      </c>
      <c r="AM1176" s="171">
        <f t="shared" si="725"/>
        <v>100</v>
      </c>
      <c r="AN1176" s="90"/>
      <c r="AO1176" s="193"/>
      <c r="AP1176" s="193" t="e">
        <f t="shared" ca="1" si="693"/>
        <v>#NAME?</v>
      </c>
      <c r="AQ1176" s="200">
        <f>AQ1177</f>
        <v>45995</v>
      </c>
      <c r="AR1176" s="204">
        <f t="shared" si="697"/>
        <v>119.88220270516796</v>
      </c>
      <c r="AS1176" s="204">
        <f t="shared" si="698"/>
        <v>100</v>
      </c>
      <c r="AT1176" s="204">
        <f t="shared" si="699"/>
        <v>119.88220270516796</v>
      </c>
      <c r="AU1176" s="204">
        <f t="shared" si="700"/>
        <v>99.989130434782609</v>
      </c>
      <c r="AV1176" s="204">
        <f t="shared" si="701"/>
        <v>119.86917203096088</v>
      </c>
    </row>
    <row r="1177" spans="1:48" ht="12" customHeight="1">
      <c r="A1177" s="62"/>
      <c r="B1177" s="62"/>
      <c r="C1177" s="62"/>
      <c r="D1177" s="62"/>
      <c r="E1177" s="62"/>
      <c r="F1177" s="62"/>
      <c r="G1177" s="62"/>
      <c r="H1177" s="304"/>
      <c r="I1177" s="464"/>
      <c r="J1177" s="303">
        <v>323</v>
      </c>
      <c r="K1177" s="19" t="s">
        <v>356</v>
      </c>
      <c r="L1177" s="112">
        <f t="shared" ref="L1177:S1177" si="726">L1178+L1179+L1180+L1181</f>
        <v>0</v>
      </c>
      <c r="M1177" s="112">
        <f t="shared" si="726"/>
        <v>0</v>
      </c>
      <c r="N1177" s="113">
        <f t="shared" si="726"/>
        <v>50000</v>
      </c>
      <c r="O1177" s="113">
        <f t="shared" si="726"/>
        <v>6636.1404207313026</v>
      </c>
      <c r="P1177" s="114">
        <f t="shared" si="726"/>
        <v>6700</v>
      </c>
      <c r="Q1177" s="114">
        <f t="shared" si="726"/>
        <v>39400</v>
      </c>
      <c r="R1177" s="88">
        <f t="shared" si="726"/>
        <v>38371</v>
      </c>
      <c r="S1177" s="90">
        <f t="shared" si="726"/>
        <v>0</v>
      </c>
      <c r="T1177" s="90"/>
      <c r="U1177" s="90"/>
      <c r="V1177" s="200">
        <f>V1178+V1179+V1180+V1181</f>
        <v>46000</v>
      </c>
      <c r="W1177" s="200">
        <f>W1178+W1179+W1180+W1181</f>
        <v>46000</v>
      </c>
      <c r="X1177" s="88">
        <f>X1178+X1179+X1180+X1181</f>
        <v>50000</v>
      </c>
      <c r="Y1177" s="171">
        <f>Y1178+Y1179+Y1180+Y1181</f>
        <v>50000</v>
      </c>
      <c r="Z1177" s="171">
        <f>Z1178+Z1179+Z1180+Z1181</f>
        <v>0</v>
      </c>
      <c r="AA1177" s="370" t="e">
        <f t="shared" ca="1" si="692"/>
        <v>#NAME?</v>
      </c>
      <c r="AB1177" s="171"/>
      <c r="AC1177" s="172">
        <f>AC1178+AC1179+AC1180+AC1181</f>
        <v>10000</v>
      </c>
      <c r="AD1177" s="172">
        <f>AD1178+AD1179+AD1180+AD1181</f>
        <v>10000</v>
      </c>
      <c r="AE1177" s="178"/>
      <c r="AF1177" s="178">
        <f t="shared" si="723"/>
        <v>100.9623</v>
      </c>
      <c r="AG1177" s="178">
        <f t="shared" si="723"/>
        <v>588.05970149253733</v>
      </c>
      <c r="AH1177" s="178">
        <f>AC1177/Q1177*100</f>
        <v>25.380710659898476</v>
      </c>
      <c r="AI1177" s="171"/>
      <c r="AJ1177" s="171">
        <v>50000</v>
      </c>
      <c r="AK1177" s="171">
        <f t="shared" si="724"/>
        <v>119.88220270516796</v>
      </c>
      <c r="AL1177" s="171">
        <f t="shared" si="725"/>
        <v>108.69565217391303</v>
      </c>
      <c r="AM1177" s="171">
        <f t="shared" si="725"/>
        <v>100</v>
      </c>
      <c r="AN1177" s="90"/>
      <c r="AO1177" s="193"/>
      <c r="AP1177" s="193" t="e">
        <f t="shared" ca="1" si="693"/>
        <v>#NAME?</v>
      </c>
      <c r="AQ1177" s="200">
        <f>AQ1178+AQ1179+AQ1180+AQ1181</f>
        <v>45995</v>
      </c>
      <c r="AR1177" s="204">
        <f t="shared" si="697"/>
        <v>119.88220270516796</v>
      </c>
      <c r="AS1177" s="204">
        <f t="shared" si="698"/>
        <v>100</v>
      </c>
      <c r="AT1177" s="204">
        <f t="shared" si="699"/>
        <v>119.88220270516796</v>
      </c>
      <c r="AU1177" s="204">
        <f t="shared" si="700"/>
        <v>99.989130434782609</v>
      </c>
      <c r="AV1177" s="204">
        <f t="shared" si="701"/>
        <v>119.86917203096088</v>
      </c>
    </row>
    <row r="1178" spans="1:48" ht="12" customHeight="1">
      <c r="A1178" s="53"/>
      <c r="B1178" s="53"/>
      <c r="C1178" s="53"/>
      <c r="D1178" s="53"/>
      <c r="E1178" s="53"/>
      <c r="F1178" s="53"/>
      <c r="G1178" s="53"/>
      <c r="H1178" s="1">
        <v>240</v>
      </c>
      <c r="I1178" s="397">
        <v>820</v>
      </c>
      <c r="J1178" s="229">
        <v>3232</v>
      </c>
      <c r="K1178" s="18" t="s">
        <v>869</v>
      </c>
      <c r="L1178" s="130">
        <v>0</v>
      </c>
      <c r="M1178" s="130">
        <v>0</v>
      </c>
      <c r="N1178" s="131">
        <v>0</v>
      </c>
      <c r="O1178" s="131">
        <f>N1178/7.5345</f>
        <v>0</v>
      </c>
      <c r="P1178" s="132">
        <v>4000</v>
      </c>
      <c r="Q1178" s="163">
        <v>0</v>
      </c>
      <c r="R1178" s="159">
        <v>0</v>
      </c>
      <c r="S1178" s="165"/>
      <c r="T1178" s="165"/>
      <c r="U1178" s="165"/>
      <c r="V1178" s="200"/>
      <c r="W1178" s="200"/>
      <c r="X1178" s="164"/>
      <c r="Y1178" s="378"/>
      <c r="Z1178" s="378"/>
      <c r="AA1178" s="370" t="e">
        <f t="shared" ca="1" si="692"/>
        <v>#NAME?</v>
      </c>
      <c r="AB1178" s="183"/>
      <c r="AC1178" s="178">
        <v>5000</v>
      </c>
      <c r="AD1178" s="178">
        <v>5000</v>
      </c>
      <c r="AE1178" s="178"/>
      <c r="AF1178" s="178"/>
      <c r="AG1178" s="178"/>
      <c r="AH1178" s="178"/>
      <c r="AI1178" s="183"/>
      <c r="AJ1178" s="378"/>
      <c r="AK1178" s="171"/>
      <c r="AL1178" s="171"/>
      <c r="AM1178" s="171"/>
      <c r="AN1178" s="165"/>
      <c r="AO1178" s="193"/>
      <c r="AP1178" s="193" t="e">
        <f t="shared" ca="1" si="693"/>
        <v>#NAME?</v>
      </c>
      <c r="AQ1178" s="200"/>
      <c r="AR1178" s="204"/>
      <c r="AS1178" s="204"/>
      <c r="AT1178" s="204"/>
      <c r="AU1178" s="204"/>
      <c r="AV1178" s="204"/>
    </row>
    <row r="1179" spans="1:48" ht="12" customHeight="1">
      <c r="A1179" s="53"/>
      <c r="B1179" s="53"/>
      <c r="C1179" s="53"/>
      <c r="D1179" s="53"/>
      <c r="E1179" s="53"/>
      <c r="F1179" s="53"/>
      <c r="G1179" s="53"/>
      <c r="H1179" s="1">
        <v>241</v>
      </c>
      <c r="I1179" s="397">
        <v>820</v>
      </c>
      <c r="J1179" s="229">
        <v>3232</v>
      </c>
      <c r="K1179" s="18" t="s">
        <v>870</v>
      </c>
      <c r="L1179" s="130">
        <v>0</v>
      </c>
      <c r="M1179" s="130">
        <v>0</v>
      </c>
      <c r="N1179" s="131">
        <v>0</v>
      </c>
      <c r="O1179" s="131">
        <f>N1179/7.5345</f>
        <v>0</v>
      </c>
      <c r="P1179" s="132">
        <v>2700</v>
      </c>
      <c r="Q1179" s="163">
        <v>39400</v>
      </c>
      <c r="R1179" s="159">
        <v>38371</v>
      </c>
      <c r="S1179" s="165"/>
      <c r="T1179" s="165"/>
      <c r="U1179" s="165"/>
      <c r="V1179" s="200">
        <v>46000</v>
      </c>
      <c r="W1179" s="200">
        <v>46000</v>
      </c>
      <c r="X1179" s="164">
        <v>50000</v>
      </c>
      <c r="Y1179" s="378">
        <v>50000</v>
      </c>
      <c r="Z1179" s="378"/>
      <c r="AA1179" s="370" t="e">
        <f t="shared" ca="1" si="692"/>
        <v>#NAME?</v>
      </c>
      <c r="AB1179" s="183"/>
      <c r="AC1179" s="178">
        <v>5000</v>
      </c>
      <c r="AD1179" s="178">
        <v>5000</v>
      </c>
      <c r="AE1179" s="178"/>
      <c r="AF1179" s="178"/>
      <c r="AG1179" s="178"/>
      <c r="AH1179" s="178">
        <f>AC1179/Q1179*100</f>
        <v>12.690355329949238</v>
      </c>
      <c r="AI1179" s="183"/>
      <c r="AJ1179" s="378">
        <v>50000</v>
      </c>
      <c r="AK1179" s="171">
        <f t="shared" si="724"/>
        <v>119.88220270516796</v>
      </c>
      <c r="AL1179" s="171">
        <f t="shared" si="725"/>
        <v>108.69565217391303</v>
      </c>
      <c r="AM1179" s="171">
        <f t="shared" si="725"/>
        <v>100</v>
      </c>
      <c r="AN1179" s="165"/>
      <c r="AO1179" s="193"/>
      <c r="AP1179" s="193" t="e">
        <f t="shared" ca="1" si="693"/>
        <v>#NAME?</v>
      </c>
      <c r="AQ1179" s="200">
        <v>45995</v>
      </c>
      <c r="AR1179" s="204">
        <f t="shared" si="697"/>
        <v>119.88220270516796</v>
      </c>
      <c r="AS1179" s="204">
        <f t="shared" si="698"/>
        <v>100</v>
      </c>
      <c r="AT1179" s="204">
        <f t="shared" si="699"/>
        <v>119.88220270516796</v>
      </c>
      <c r="AU1179" s="204">
        <f t="shared" si="700"/>
        <v>99.989130434782609</v>
      </c>
      <c r="AV1179" s="204">
        <f t="shared" si="701"/>
        <v>119.86917203096088</v>
      </c>
    </row>
    <row r="1180" spans="1:48" ht="12" customHeight="1">
      <c r="A1180" s="53"/>
      <c r="B1180" s="53"/>
      <c r="C1180" s="53"/>
      <c r="D1180" s="53"/>
      <c r="E1180" s="53"/>
      <c r="F1180" s="53"/>
      <c r="G1180" s="53"/>
      <c r="H1180" s="1">
        <v>242</v>
      </c>
      <c r="I1180" s="397">
        <v>820</v>
      </c>
      <c r="J1180" s="229">
        <v>3239</v>
      </c>
      <c r="K1180" s="18" t="s">
        <v>871</v>
      </c>
      <c r="L1180" s="130">
        <v>0</v>
      </c>
      <c r="M1180" s="130">
        <v>0</v>
      </c>
      <c r="N1180" s="131">
        <v>0</v>
      </c>
      <c r="O1180" s="131">
        <f>N1180/7.5345</f>
        <v>0</v>
      </c>
      <c r="P1180" s="132">
        <v>0</v>
      </c>
      <c r="Q1180" s="132">
        <v>0</v>
      </c>
      <c r="R1180" s="159">
        <v>0</v>
      </c>
      <c r="S1180" s="165"/>
      <c r="T1180" s="165"/>
      <c r="U1180" s="165"/>
      <c r="V1180" s="200"/>
      <c r="W1180" s="200"/>
      <c r="X1180" s="164"/>
      <c r="Y1180" s="378"/>
      <c r="Z1180" s="378"/>
      <c r="AA1180" s="370" t="e">
        <f t="shared" ca="1" si="692"/>
        <v>#NAME?</v>
      </c>
      <c r="AB1180" s="183"/>
      <c r="AC1180" s="178">
        <v>0</v>
      </c>
      <c r="AD1180" s="178">
        <v>0</v>
      </c>
      <c r="AE1180" s="178"/>
      <c r="AF1180" s="178"/>
      <c r="AG1180" s="178"/>
      <c r="AH1180" s="178"/>
      <c r="AI1180" s="183"/>
      <c r="AJ1180" s="378"/>
      <c r="AK1180" s="171"/>
      <c r="AL1180" s="171"/>
      <c r="AM1180" s="171"/>
      <c r="AN1180" s="165"/>
      <c r="AO1180" s="193"/>
      <c r="AP1180" s="193" t="e">
        <f t="shared" ca="1" si="693"/>
        <v>#NAME?</v>
      </c>
      <c r="AQ1180" s="200"/>
      <c r="AR1180" s="204"/>
      <c r="AS1180" s="204"/>
      <c r="AT1180" s="204"/>
      <c r="AU1180" s="204"/>
      <c r="AV1180" s="204"/>
    </row>
    <row r="1181" spans="1:48" ht="12" customHeight="1">
      <c r="A1181" s="53"/>
      <c r="B1181" s="53"/>
      <c r="C1181" s="53"/>
      <c r="D1181" s="53"/>
      <c r="E1181" s="53"/>
      <c r="F1181" s="53"/>
      <c r="G1181" s="53"/>
      <c r="H1181" s="1">
        <v>243</v>
      </c>
      <c r="I1181" s="397">
        <v>820</v>
      </c>
      <c r="J1181" s="229">
        <v>3239</v>
      </c>
      <c r="K1181" s="18" t="s">
        <v>872</v>
      </c>
      <c r="L1181" s="130">
        <v>0</v>
      </c>
      <c r="M1181" s="130">
        <v>0</v>
      </c>
      <c r="N1181" s="131">
        <v>50000</v>
      </c>
      <c r="O1181" s="131">
        <f>N1181/7.5345</f>
        <v>6636.1404207313026</v>
      </c>
      <c r="P1181" s="132">
        <v>0</v>
      </c>
      <c r="Q1181" s="132">
        <v>0</v>
      </c>
      <c r="R1181" s="159">
        <v>0</v>
      </c>
      <c r="S1181" s="165"/>
      <c r="T1181" s="165"/>
      <c r="U1181" s="165"/>
      <c r="V1181" s="200"/>
      <c r="W1181" s="200"/>
      <c r="X1181" s="164"/>
      <c r="Y1181" s="378"/>
      <c r="Z1181" s="378"/>
      <c r="AA1181" s="370" t="e">
        <f t="shared" ca="1" si="692"/>
        <v>#NAME?</v>
      </c>
      <c r="AB1181" s="183"/>
      <c r="AC1181" s="178">
        <v>0</v>
      </c>
      <c r="AD1181" s="178">
        <v>0</v>
      </c>
      <c r="AE1181" s="178"/>
      <c r="AF1181" s="178"/>
      <c r="AG1181" s="178"/>
      <c r="AH1181" s="178"/>
      <c r="AI1181" s="183"/>
      <c r="AJ1181" s="378"/>
      <c r="AK1181" s="171"/>
      <c r="AL1181" s="171"/>
      <c r="AM1181" s="171"/>
      <c r="AN1181" s="165"/>
      <c r="AO1181" s="193"/>
      <c r="AP1181" s="193" t="e">
        <f t="shared" ca="1" si="693"/>
        <v>#NAME?</v>
      </c>
      <c r="AQ1181" s="200"/>
      <c r="AR1181" s="204"/>
      <c r="AS1181" s="204"/>
      <c r="AT1181" s="204"/>
      <c r="AU1181" s="204"/>
      <c r="AV1181" s="204"/>
    </row>
    <row r="1182" spans="1:48" ht="12" customHeight="1">
      <c r="A1182" s="42"/>
      <c r="B1182" s="42"/>
      <c r="C1182" s="42"/>
      <c r="D1182" s="42"/>
      <c r="E1182" s="42"/>
      <c r="F1182" s="42"/>
      <c r="G1182" s="42"/>
      <c r="H1182" s="308"/>
      <c r="I1182" s="14"/>
      <c r="J1182" s="2"/>
      <c r="K1182" s="84"/>
      <c r="L1182" s="85">
        <v>1</v>
      </c>
      <c r="M1182" s="85">
        <v>2</v>
      </c>
      <c r="N1182" s="86">
        <v>3</v>
      </c>
      <c r="O1182" s="86">
        <v>4</v>
      </c>
      <c r="P1182" s="87">
        <v>5</v>
      </c>
      <c r="Q1182" s="87">
        <v>6</v>
      </c>
      <c r="R1182" s="160"/>
      <c r="S1182" s="161"/>
      <c r="T1182" s="161"/>
      <c r="U1182" s="161"/>
      <c r="V1182" s="200"/>
      <c r="W1182" s="200"/>
      <c r="X1182" s="361"/>
      <c r="Y1182" s="373"/>
      <c r="Z1182" s="373"/>
      <c r="AA1182" s="370" t="e">
        <f t="shared" ref="AA1182:AA1219" ca="1" si="727">__xlfn.ISFORMULA(R1182)</f>
        <v>#NAME?</v>
      </c>
      <c r="AB1182" s="181"/>
      <c r="AC1182" s="182">
        <v>7</v>
      </c>
      <c r="AD1182" s="182">
        <v>8</v>
      </c>
      <c r="AE1182" s="182">
        <v>9</v>
      </c>
      <c r="AF1182" s="182">
        <v>10</v>
      </c>
      <c r="AG1182" s="182">
        <v>11</v>
      </c>
      <c r="AH1182" s="182">
        <v>12</v>
      </c>
      <c r="AI1182" s="181"/>
      <c r="AJ1182" s="373"/>
      <c r="AK1182" s="171"/>
      <c r="AL1182" s="171"/>
      <c r="AM1182" s="171"/>
      <c r="AN1182" s="161"/>
      <c r="AO1182" s="193"/>
      <c r="AP1182" s="193" t="e">
        <f t="shared" ref="AP1182:AP1221" ca="1" si="728">__xlfn.ISFORMULA(X1182)</f>
        <v>#NAME?</v>
      </c>
      <c r="AQ1182" s="200"/>
      <c r="AR1182" s="204"/>
      <c r="AS1182" s="204"/>
      <c r="AT1182" s="204"/>
      <c r="AU1182" s="204"/>
      <c r="AV1182" s="204"/>
    </row>
    <row r="1183" spans="1:48" ht="12" customHeight="1">
      <c r="A1183" s="390" t="s">
        <v>578</v>
      </c>
      <c r="B1183" s="391"/>
      <c r="C1183" s="391"/>
      <c r="D1183" s="391"/>
      <c r="E1183" s="391"/>
      <c r="F1183" s="391"/>
      <c r="G1183" s="391"/>
      <c r="H1183" s="435"/>
      <c r="I1183" s="482" t="s">
        <v>873</v>
      </c>
      <c r="J1183" s="483"/>
      <c r="K1183" s="484"/>
      <c r="L1183" s="335">
        <f t="shared" ref="L1183:S1183" si="729">L1185</f>
        <v>15000</v>
      </c>
      <c r="M1183" s="335">
        <f t="shared" si="729"/>
        <v>1990.8421262193906</v>
      </c>
      <c r="N1183" s="336">
        <f t="shared" si="729"/>
        <v>20000</v>
      </c>
      <c r="O1183" s="336">
        <f t="shared" si="729"/>
        <v>2654.4561682925209</v>
      </c>
      <c r="P1183" s="337">
        <f t="shared" si="729"/>
        <v>4100</v>
      </c>
      <c r="Q1183" s="337">
        <f t="shared" si="729"/>
        <v>9400</v>
      </c>
      <c r="R1183" s="359">
        <f t="shared" si="729"/>
        <v>9314</v>
      </c>
      <c r="S1183" s="360">
        <f t="shared" si="729"/>
        <v>0</v>
      </c>
      <c r="T1183" s="360"/>
      <c r="U1183" s="360"/>
      <c r="V1183" s="200">
        <f>V1185</f>
        <v>0</v>
      </c>
      <c r="W1183" s="200">
        <f>W1185</f>
        <v>0</v>
      </c>
      <c r="X1183" s="359">
        <f>X1185</f>
        <v>0</v>
      </c>
      <c r="Y1183" s="371">
        <f>Y1185</f>
        <v>0</v>
      </c>
      <c r="Z1183" s="371">
        <f>Z1185</f>
        <v>0</v>
      </c>
      <c r="AA1183" s="370" t="e">
        <f t="shared" ca="1" si="727"/>
        <v>#NAME?</v>
      </c>
      <c r="AB1183" s="371"/>
      <c r="AC1183" s="372">
        <f>AC1185</f>
        <v>5000</v>
      </c>
      <c r="AD1183" s="372">
        <f>AD1185</f>
        <v>5000</v>
      </c>
      <c r="AE1183" s="178">
        <f>O1183/M1183*100</f>
        <v>133.33333333333334</v>
      </c>
      <c r="AF1183" s="178">
        <f>P1183/O1183*100</f>
        <v>154.45725000000002</v>
      </c>
      <c r="AG1183" s="178">
        <f>Q1183/P1183*100</f>
        <v>229.26829268292681</v>
      </c>
      <c r="AH1183" s="178">
        <f>AC1183/Q1183*100</f>
        <v>53.191489361702125</v>
      </c>
      <c r="AI1183" s="371"/>
      <c r="AJ1183" s="371">
        <v>0</v>
      </c>
      <c r="AK1183" s="171">
        <f t="shared" si="724"/>
        <v>0</v>
      </c>
      <c r="AL1183" s="171"/>
      <c r="AM1183" s="171"/>
      <c r="AN1183" s="360"/>
      <c r="AO1183" s="193"/>
      <c r="AP1183" s="193" t="e">
        <f t="shared" ca="1" si="728"/>
        <v>#NAME?</v>
      </c>
      <c r="AQ1183" s="200">
        <f>AQ1185</f>
        <v>5323</v>
      </c>
      <c r="AR1183" s="204">
        <f t="shared" si="697"/>
        <v>0</v>
      </c>
      <c r="AS1183" s="204"/>
      <c r="AT1183" s="204">
        <f t="shared" si="699"/>
        <v>0</v>
      </c>
      <c r="AU1183" s="204"/>
      <c r="AV1183" s="204">
        <f t="shared" si="701"/>
        <v>57.150526089757356</v>
      </c>
    </row>
    <row r="1184" spans="1:48" ht="12" customHeight="1">
      <c r="A1184" s="53"/>
      <c r="B1184" s="53"/>
      <c r="C1184" s="53"/>
      <c r="D1184" s="53"/>
      <c r="E1184" s="53"/>
      <c r="F1184" s="53"/>
      <c r="G1184" s="53"/>
      <c r="H1184" s="1"/>
      <c r="I1184" s="397"/>
      <c r="J1184" s="229"/>
      <c r="K1184" s="18"/>
      <c r="L1184" s="130"/>
      <c r="M1184" s="130"/>
      <c r="N1184" s="131"/>
      <c r="O1184" s="131"/>
      <c r="P1184" s="132"/>
      <c r="Q1184" s="132"/>
      <c r="R1184" s="159"/>
      <c r="S1184" s="165"/>
      <c r="T1184" s="165"/>
      <c r="U1184" s="165"/>
      <c r="V1184" s="200"/>
      <c r="W1184" s="200"/>
      <c r="X1184" s="164"/>
      <c r="Y1184" s="378"/>
      <c r="Z1184" s="378"/>
      <c r="AA1184" s="370" t="e">
        <f t="shared" ca="1" si="727"/>
        <v>#NAME?</v>
      </c>
      <c r="AB1184" s="183"/>
      <c r="AC1184" s="178"/>
      <c r="AD1184" s="178"/>
      <c r="AE1184" s="178"/>
      <c r="AF1184" s="178"/>
      <c r="AG1184" s="178"/>
      <c r="AH1184" s="178"/>
      <c r="AI1184" s="183"/>
      <c r="AJ1184" s="378"/>
      <c r="AK1184" s="171"/>
      <c r="AL1184" s="171"/>
      <c r="AM1184" s="171"/>
      <c r="AN1184" s="165"/>
      <c r="AO1184" s="193"/>
      <c r="AP1184" s="193" t="e">
        <f t="shared" ca="1" si="728"/>
        <v>#NAME?</v>
      </c>
      <c r="AQ1184" s="200"/>
      <c r="AR1184" s="204"/>
      <c r="AS1184" s="204"/>
      <c r="AT1184" s="204"/>
      <c r="AU1184" s="204"/>
      <c r="AV1184" s="204"/>
    </row>
    <row r="1185" spans="1:48" ht="12" customHeight="1">
      <c r="A1185" s="24"/>
      <c r="B1185" s="24"/>
      <c r="C1185" s="24"/>
      <c r="D1185" s="24"/>
      <c r="E1185" s="24"/>
      <c r="F1185" s="24"/>
      <c r="G1185" s="24"/>
      <c r="H1185" s="393"/>
      <c r="I1185" s="465"/>
      <c r="J1185" s="281">
        <v>3</v>
      </c>
      <c r="K1185" s="2" t="s">
        <v>224</v>
      </c>
      <c r="L1185" s="112">
        <f t="shared" ref="L1185:AD1186" si="730">L1186</f>
        <v>15000</v>
      </c>
      <c r="M1185" s="112">
        <f t="shared" si="730"/>
        <v>1990.8421262193906</v>
      </c>
      <c r="N1185" s="113">
        <f t="shared" si="730"/>
        <v>20000</v>
      </c>
      <c r="O1185" s="113">
        <f t="shared" si="730"/>
        <v>2654.4561682925209</v>
      </c>
      <c r="P1185" s="114">
        <f t="shared" si="730"/>
        <v>4100</v>
      </c>
      <c r="Q1185" s="114">
        <f t="shared" si="730"/>
        <v>9400</v>
      </c>
      <c r="R1185" s="88">
        <f t="shared" si="730"/>
        <v>9314</v>
      </c>
      <c r="S1185" s="90">
        <f t="shared" si="730"/>
        <v>0</v>
      </c>
      <c r="T1185" s="90"/>
      <c r="U1185" s="90"/>
      <c r="V1185" s="200">
        <f>V1186</f>
        <v>0</v>
      </c>
      <c r="W1185" s="200">
        <f t="shared" si="730"/>
        <v>0</v>
      </c>
      <c r="X1185" s="88">
        <f t="shared" si="730"/>
        <v>0</v>
      </c>
      <c r="Y1185" s="171">
        <f t="shared" si="730"/>
        <v>0</v>
      </c>
      <c r="Z1185" s="171">
        <f t="shared" si="730"/>
        <v>0</v>
      </c>
      <c r="AA1185" s="370" t="e">
        <f t="shared" ca="1" si="727"/>
        <v>#NAME?</v>
      </c>
      <c r="AB1185" s="171"/>
      <c r="AC1185" s="172">
        <f t="shared" si="730"/>
        <v>5000</v>
      </c>
      <c r="AD1185" s="172">
        <f t="shared" si="730"/>
        <v>5000</v>
      </c>
      <c r="AE1185" s="178">
        <f>O1185/M1185*100</f>
        <v>133.33333333333334</v>
      </c>
      <c r="AF1185" s="178">
        <f t="shared" ref="AF1185:AG1187" si="731">P1185/O1185*100</f>
        <v>154.45725000000002</v>
      </c>
      <c r="AG1185" s="178">
        <f t="shared" si="731"/>
        <v>229.26829268292681</v>
      </c>
      <c r="AH1185" s="178">
        <f>AC1185/Q1185*100</f>
        <v>53.191489361702125</v>
      </c>
      <c r="AI1185" s="171"/>
      <c r="AJ1185" s="171">
        <v>0</v>
      </c>
      <c r="AK1185" s="171">
        <f t="shared" si="724"/>
        <v>0</v>
      </c>
      <c r="AL1185" s="171"/>
      <c r="AM1185" s="171"/>
      <c r="AN1185" s="90"/>
      <c r="AO1185" s="193"/>
      <c r="AP1185" s="193" t="e">
        <f t="shared" ca="1" si="728"/>
        <v>#NAME?</v>
      </c>
      <c r="AQ1185" s="200">
        <f>AQ1186</f>
        <v>5323</v>
      </c>
      <c r="AR1185" s="204">
        <f t="shared" si="697"/>
        <v>0</v>
      </c>
      <c r="AS1185" s="204"/>
      <c r="AT1185" s="204">
        <f t="shared" si="699"/>
        <v>0</v>
      </c>
      <c r="AU1185" s="204"/>
      <c r="AV1185" s="204">
        <f t="shared" si="701"/>
        <v>57.150526089757356</v>
      </c>
    </row>
    <row r="1186" spans="1:48" ht="12" customHeight="1">
      <c r="A1186" s="301"/>
      <c r="B1186" s="301"/>
      <c r="C1186" s="301"/>
      <c r="D1186" s="301"/>
      <c r="E1186" s="301"/>
      <c r="F1186" s="301"/>
      <c r="G1186" s="301"/>
      <c r="H1186" s="307"/>
      <c r="I1186" s="350"/>
      <c r="J1186" s="302">
        <v>32</v>
      </c>
      <c r="K1186" s="343" t="s">
        <v>233</v>
      </c>
      <c r="L1186" s="112">
        <f t="shared" si="730"/>
        <v>15000</v>
      </c>
      <c r="M1186" s="112">
        <f t="shared" si="730"/>
        <v>1990.8421262193906</v>
      </c>
      <c r="N1186" s="113">
        <f t="shared" si="730"/>
        <v>20000</v>
      </c>
      <c r="O1186" s="113">
        <f t="shared" si="730"/>
        <v>2654.4561682925209</v>
      </c>
      <c r="P1186" s="114">
        <f t="shared" si="730"/>
        <v>4100</v>
      </c>
      <c r="Q1186" s="114">
        <f t="shared" si="730"/>
        <v>9400</v>
      </c>
      <c r="R1186" s="88">
        <f t="shared" si="730"/>
        <v>9314</v>
      </c>
      <c r="S1186" s="90">
        <f t="shared" si="730"/>
        <v>0</v>
      </c>
      <c r="T1186" s="90"/>
      <c r="U1186" s="90"/>
      <c r="V1186" s="200">
        <f>V1187</f>
        <v>0</v>
      </c>
      <c r="W1186" s="200">
        <f t="shared" si="730"/>
        <v>0</v>
      </c>
      <c r="X1186" s="88">
        <f t="shared" si="730"/>
        <v>0</v>
      </c>
      <c r="Y1186" s="171">
        <f t="shared" si="730"/>
        <v>0</v>
      </c>
      <c r="Z1186" s="171">
        <f t="shared" si="730"/>
        <v>0</v>
      </c>
      <c r="AA1186" s="370" t="e">
        <f t="shared" ca="1" si="727"/>
        <v>#NAME?</v>
      </c>
      <c r="AB1186" s="171"/>
      <c r="AC1186" s="172">
        <f t="shared" si="730"/>
        <v>5000</v>
      </c>
      <c r="AD1186" s="172">
        <f t="shared" si="730"/>
        <v>5000</v>
      </c>
      <c r="AE1186" s="178">
        <f>O1186/M1186*100</f>
        <v>133.33333333333334</v>
      </c>
      <c r="AF1186" s="178">
        <f t="shared" si="731"/>
        <v>154.45725000000002</v>
      </c>
      <c r="AG1186" s="178">
        <f t="shared" si="731"/>
        <v>229.26829268292681</v>
      </c>
      <c r="AH1186" s="178">
        <f>AC1186/Q1186*100</f>
        <v>53.191489361702125</v>
      </c>
      <c r="AI1186" s="171"/>
      <c r="AJ1186" s="171">
        <v>0</v>
      </c>
      <c r="AK1186" s="171">
        <f t="shared" si="724"/>
        <v>0</v>
      </c>
      <c r="AL1186" s="171"/>
      <c r="AM1186" s="171"/>
      <c r="AN1186" s="90"/>
      <c r="AO1186" s="193"/>
      <c r="AP1186" s="193" t="e">
        <f t="shared" ca="1" si="728"/>
        <v>#NAME?</v>
      </c>
      <c r="AQ1186" s="200">
        <f>AQ1187</f>
        <v>5323</v>
      </c>
      <c r="AR1186" s="204">
        <f t="shared" si="697"/>
        <v>0</v>
      </c>
      <c r="AS1186" s="204"/>
      <c r="AT1186" s="204">
        <f t="shared" si="699"/>
        <v>0</v>
      </c>
      <c r="AU1186" s="204"/>
      <c r="AV1186" s="204">
        <f t="shared" si="701"/>
        <v>57.150526089757356</v>
      </c>
    </row>
    <row r="1187" spans="1:48" ht="12" customHeight="1">
      <c r="A1187" s="62"/>
      <c r="B1187" s="62"/>
      <c r="C1187" s="62"/>
      <c r="D1187" s="62"/>
      <c r="E1187" s="62"/>
      <c r="F1187" s="62"/>
      <c r="G1187" s="62"/>
      <c r="H1187" s="304"/>
      <c r="I1187" s="464"/>
      <c r="J1187" s="303">
        <v>323</v>
      </c>
      <c r="K1187" s="19" t="s">
        <v>356</v>
      </c>
      <c r="L1187" s="112">
        <f t="shared" ref="L1187:S1187" si="732">L1188+L1189+L1190+L1191</f>
        <v>15000</v>
      </c>
      <c r="M1187" s="112">
        <f t="shared" si="732"/>
        <v>1990.8421262193906</v>
      </c>
      <c r="N1187" s="113">
        <f t="shared" si="732"/>
        <v>20000</v>
      </c>
      <c r="O1187" s="113">
        <f t="shared" si="732"/>
        <v>2654.4561682925209</v>
      </c>
      <c r="P1187" s="114">
        <f t="shared" si="732"/>
        <v>4100</v>
      </c>
      <c r="Q1187" s="114">
        <f t="shared" si="732"/>
        <v>9400</v>
      </c>
      <c r="R1187" s="88">
        <f t="shared" si="732"/>
        <v>9314</v>
      </c>
      <c r="S1187" s="90">
        <f t="shared" si="732"/>
        <v>0</v>
      </c>
      <c r="T1187" s="90"/>
      <c r="U1187" s="90"/>
      <c r="V1187" s="200">
        <f>V1188+V1189+V1190+V1191</f>
        <v>0</v>
      </c>
      <c r="W1187" s="200">
        <f>W1188+W1189+W1190+W1191</f>
        <v>0</v>
      </c>
      <c r="X1187" s="88">
        <f>X1188+X1189+X1190+X1191</f>
        <v>0</v>
      </c>
      <c r="Y1187" s="171">
        <f>Y1188+Y1189+Y1190+Y1191</f>
        <v>0</v>
      </c>
      <c r="Z1187" s="171">
        <f>Z1188+Z1189+Z1190+Z1191</f>
        <v>0</v>
      </c>
      <c r="AA1187" s="370" t="e">
        <f t="shared" ca="1" si="727"/>
        <v>#NAME?</v>
      </c>
      <c r="AB1187" s="171"/>
      <c r="AC1187" s="172">
        <f>AC1188+AC1189+AC1190+AC1191</f>
        <v>5000</v>
      </c>
      <c r="AD1187" s="172">
        <f>AD1188+AD1189+AD1190+AD1191</f>
        <v>5000</v>
      </c>
      <c r="AE1187" s="178">
        <f>O1187/M1187*100</f>
        <v>133.33333333333334</v>
      </c>
      <c r="AF1187" s="178">
        <f t="shared" si="731"/>
        <v>154.45725000000002</v>
      </c>
      <c r="AG1187" s="178">
        <f t="shared" si="731"/>
        <v>229.26829268292681</v>
      </c>
      <c r="AH1187" s="178">
        <f>AC1187/Q1187*100</f>
        <v>53.191489361702125</v>
      </c>
      <c r="AI1187" s="171"/>
      <c r="AJ1187" s="171">
        <v>0</v>
      </c>
      <c r="AK1187" s="171">
        <f t="shared" si="724"/>
        <v>0</v>
      </c>
      <c r="AL1187" s="171"/>
      <c r="AM1187" s="171"/>
      <c r="AN1187" s="90"/>
      <c r="AO1187" s="193"/>
      <c r="AP1187" s="193" t="e">
        <f t="shared" ca="1" si="728"/>
        <v>#NAME?</v>
      </c>
      <c r="AQ1187" s="200">
        <f>AQ1188+AQ1189+AQ1190+AQ1191</f>
        <v>5323</v>
      </c>
      <c r="AR1187" s="204">
        <f t="shared" si="697"/>
        <v>0</v>
      </c>
      <c r="AS1187" s="204"/>
      <c r="AT1187" s="204">
        <f t="shared" si="699"/>
        <v>0</v>
      </c>
      <c r="AU1187" s="204"/>
      <c r="AV1187" s="204">
        <f t="shared" si="701"/>
        <v>57.150526089757356</v>
      </c>
    </row>
    <row r="1188" spans="1:48" ht="12" customHeight="1">
      <c r="A1188" s="53"/>
      <c r="B1188" s="53"/>
      <c r="C1188" s="53"/>
      <c r="D1188" s="53"/>
      <c r="E1188" s="53"/>
      <c r="F1188" s="53"/>
      <c r="G1188" s="53"/>
      <c r="H1188" s="1">
        <v>250</v>
      </c>
      <c r="I1188" s="397">
        <v>820</v>
      </c>
      <c r="J1188" s="229">
        <v>3239</v>
      </c>
      <c r="K1188" s="18" t="s">
        <v>874</v>
      </c>
      <c r="L1188" s="130"/>
      <c r="M1188" s="130"/>
      <c r="N1188" s="131"/>
      <c r="O1188" s="131"/>
      <c r="P1188" s="132"/>
      <c r="Q1188" s="132"/>
      <c r="R1188" s="159"/>
      <c r="S1188" s="165"/>
      <c r="T1188" s="165"/>
      <c r="U1188" s="165"/>
      <c r="V1188" s="200"/>
      <c r="W1188" s="200"/>
      <c r="X1188" s="164"/>
      <c r="Y1188" s="378"/>
      <c r="Z1188" s="378"/>
      <c r="AA1188" s="370" t="e">
        <f t="shared" ca="1" si="727"/>
        <v>#NAME?</v>
      </c>
      <c r="AB1188" s="183"/>
      <c r="AC1188" s="178"/>
      <c r="AD1188" s="178"/>
      <c r="AE1188" s="178"/>
      <c r="AF1188" s="178"/>
      <c r="AG1188" s="178"/>
      <c r="AH1188" s="178"/>
      <c r="AI1188" s="183"/>
      <c r="AJ1188" s="378"/>
      <c r="AK1188" s="171"/>
      <c r="AL1188" s="171"/>
      <c r="AM1188" s="171"/>
      <c r="AN1188" s="165"/>
      <c r="AO1188" s="193"/>
      <c r="AP1188" s="193" t="e">
        <f t="shared" ca="1" si="728"/>
        <v>#NAME?</v>
      </c>
      <c r="AQ1188" s="200"/>
      <c r="AR1188" s="204"/>
      <c r="AS1188" s="204"/>
      <c r="AT1188" s="204"/>
      <c r="AU1188" s="204"/>
      <c r="AV1188" s="204"/>
    </row>
    <row r="1189" spans="1:48" ht="12" customHeight="1">
      <c r="A1189" s="53"/>
      <c r="B1189" s="53"/>
      <c r="C1189" s="53"/>
      <c r="D1189" s="53"/>
      <c r="E1189" s="53"/>
      <c r="F1189" s="53"/>
      <c r="G1189" s="53"/>
      <c r="H1189" s="1">
        <v>251</v>
      </c>
      <c r="I1189" s="397">
        <v>820</v>
      </c>
      <c r="J1189" s="229">
        <v>3239</v>
      </c>
      <c r="K1189" s="18" t="s">
        <v>875</v>
      </c>
      <c r="L1189" s="130"/>
      <c r="M1189" s="130"/>
      <c r="N1189" s="131"/>
      <c r="O1189" s="131"/>
      <c r="P1189" s="132"/>
      <c r="Q1189" s="132"/>
      <c r="R1189" s="159"/>
      <c r="S1189" s="165"/>
      <c r="T1189" s="165"/>
      <c r="U1189" s="165"/>
      <c r="V1189" s="200"/>
      <c r="W1189" s="200"/>
      <c r="X1189" s="164"/>
      <c r="Y1189" s="378"/>
      <c r="Z1189" s="378"/>
      <c r="AA1189" s="370" t="e">
        <f t="shared" ca="1" si="727"/>
        <v>#NAME?</v>
      </c>
      <c r="AB1189" s="183"/>
      <c r="AC1189" s="178"/>
      <c r="AD1189" s="178"/>
      <c r="AE1189" s="178"/>
      <c r="AF1189" s="178"/>
      <c r="AG1189" s="178"/>
      <c r="AH1189" s="178"/>
      <c r="AI1189" s="183"/>
      <c r="AJ1189" s="378"/>
      <c r="AK1189" s="171"/>
      <c r="AL1189" s="171"/>
      <c r="AM1189" s="171"/>
      <c r="AN1189" s="165"/>
      <c r="AO1189" s="193"/>
      <c r="AP1189" s="193" t="e">
        <f t="shared" ca="1" si="728"/>
        <v>#NAME?</v>
      </c>
      <c r="AQ1189" s="200"/>
      <c r="AR1189" s="204"/>
      <c r="AS1189" s="204"/>
      <c r="AT1189" s="204"/>
      <c r="AU1189" s="204"/>
      <c r="AV1189" s="204"/>
    </row>
    <row r="1190" spans="1:48" ht="12" customHeight="1">
      <c r="A1190" s="53"/>
      <c r="B1190" s="53"/>
      <c r="C1190" s="53"/>
      <c r="D1190" s="53"/>
      <c r="E1190" s="53"/>
      <c r="F1190" s="53"/>
      <c r="G1190" s="53"/>
      <c r="H1190" s="1" t="s">
        <v>876</v>
      </c>
      <c r="I1190" s="397">
        <v>820</v>
      </c>
      <c r="J1190" s="229">
        <v>3239</v>
      </c>
      <c r="K1190" s="18" t="s">
        <v>877</v>
      </c>
      <c r="L1190" s="130">
        <v>15000</v>
      </c>
      <c r="M1190" s="130">
        <f>15000/7.5345</f>
        <v>1990.8421262193906</v>
      </c>
      <c r="N1190" s="131">
        <v>0</v>
      </c>
      <c r="O1190" s="131">
        <f>N1190/7.5345</f>
        <v>0</v>
      </c>
      <c r="P1190" s="132">
        <v>1400</v>
      </c>
      <c r="Q1190" s="163">
        <v>0</v>
      </c>
      <c r="R1190" s="159">
        <v>0</v>
      </c>
      <c r="S1190" s="165"/>
      <c r="T1190" s="165"/>
      <c r="U1190" s="165"/>
      <c r="V1190" s="200"/>
      <c r="W1190" s="200"/>
      <c r="X1190" s="164"/>
      <c r="Y1190" s="378"/>
      <c r="Z1190" s="378"/>
      <c r="AA1190" s="370" t="e">
        <f t="shared" ca="1" si="727"/>
        <v>#NAME?</v>
      </c>
      <c r="AB1190" s="183"/>
      <c r="AC1190" s="178">
        <v>5000</v>
      </c>
      <c r="AD1190" s="178">
        <v>5000</v>
      </c>
      <c r="AE1190" s="178">
        <f>O1190/M1190*100</f>
        <v>0</v>
      </c>
      <c r="AF1190" s="178"/>
      <c r="AG1190" s="178"/>
      <c r="AH1190" s="178"/>
      <c r="AI1190" s="183"/>
      <c r="AJ1190" s="378"/>
      <c r="AK1190" s="171"/>
      <c r="AL1190" s="171"/>
      <c r="AM1190" s="171"/>
      <c r="AN1190" s="165"/>
      <c r="AO1190" s="193"/>
      <c r="AP1190" s="193" t="e">
        <f t="shared" ca="1" si="728"/>
        <v>#NAME?</v>
      </c>
      <c r="AQ1190" s="200"/>
      <c r="AR1190" s="204"/>
      <c r="AS1190" s="204"/>
      <c r="AT1190" s="204"/>
      <c r="AU1190" s="204"/>
      <c r="AV1190" s="204"/>
    </row>
    <row r="1191" spans="1:48" ht="12" customHeight="1">
      <c r="A1191" s="53"/>
      <c r="B1191" s="53"/>
      <c r="C1191" s="53"/>
      <c r="D1191" s="53"/>
      <c r="E1191" s="53"/>
      <c r="F1191" s="53"/>
      <c r="G1191" s="53"/>
      <c r="H1191" s="16" t="s">
        <v>876</v>
      </c>
      <c r="I1191" s="481">
        <v>820</v>
      </c>
      <c r="J1191" s="407">
        <v>3237</v>
      </c>
      <c r="K1191" s="412" t="s">
        <v>877</v>
      </c>
      <c r="L1191" s="413"/>
      <c r="M1191" s="413"/>
      <c r="N1191" s="414">
        <v>20000</v>
      </c>
      <c r="O1191" s="131">
        <f>N1191/7.5345</f>
        <v>2654.4561682925209</v>
      </c>
      <c r="P1191" s="415">
        <v>2700</v>
      </c>
      <c r="Q1191" s="500">
        <v>9400</v>
      </c>
      <c r="R1191" s="421">
        <v>9314</v>
      </c>
      <c r="S1191" s="419"/>
      <c r="T1191" s="419"/>
      <c r="U1191" s="419"/>
      <c r="V1191" s="200"/>
      <c r="W1191" s="200"/>
      <c r="X1191" s="422"/>
      <c r="Y1191" s="429"/>
      <c r="Z1191" s="429"/>
      <c r="AA1191" s="370" t="e">
        <f t="shared" ca="1" si="727"/>
        <v>#NAME?</v>
      </c>
      <c r="AB1191" s="430"/>
      <c r="AC1191" s="431"/>
      <c r="AD1191" s="431"/>
      <c r="AE1191" s="178"/>
      <c r="AF1191" s="178"/>
      <c r="AG1191" s="178"/>
      <c r="AH1191" s="178"/>
      <c r="AI1191" s="430"/>
      <c r="AJ1191" s="429"/>
      <c r="AK1191" s="171">
        <f t="shared" si="724"/>
        <v>0</v>
      </c>
      <c r="AL1191" s="171"/>
      <c r="AM1191" s="171"/>
      <c r="AN1191" s="419"/>
      <c r="AO1191" s="193"/>
      <c r="AP1191" s="193" t="e">
        <f t="shared" ca="1" si="728"/>
        <v>#NAME?</v>
      </c>
      <c r="AQ1191" s="200">
        <v>5323</v>
      </c>
      <c r="AR1191" s="204">
        <f t="shared" ref="AR1191:AR1219" si="733">V1191/R1191*100</f>
        <v>0</v>
      </c>
      <c r="AS1191" s="204"/>
      <c r="AT1191" s="204">
        <f t="shared" ref="AT1191:AT1219" si="734">W1191/R1191*100</f>
        <v>0</v>
      </c>
      <c r="AU1191" s="204"/>
      <c r="AV1191" s="204">
        <f t="shared" ref="AV1191:AV1219" si="735">AQ1191/R1191*100</f>
        <v>57.150526089757356</v>
      </c>
    </row>
    <row r="1192" spans="1:48" ht="12" customHeight="1">
      <c r="A1192" s="390" t="s">
        <v>689</v>
      </c>
      <c r="B1192" s="391"/>
      <c r="C1192" s="391"/>
      <c r="D1192" s="391"/>
      <c r="E1192" s="391"/>
      <c r="F1192" s="391"/>
      <c r="G1192" s="391"/>
      <c r="H1192" s="435"/>
      <c r="I1192" s="482" t="s">
        <v>878</v>
      </c>
      <c r="J1192" s="483"/>
      <c r="K1192" s="484"/>
      <c r="L1192" s="335">
        <f t="shared" ref="L1192:S1192" si="736">L1194</f>
        <v>87115</v>
      </c>
      <c r="M1192" s="335">
        <f t="shared" si="736"/>
        <v>11562.147455040147</v>
      </c>
      <c r="N1192" s="336">
        <f t="shared" si="736"/>
        <v>69187</v>
      </c>
      <c r="O1192" s="336">
        <f t="shared" si="736"/>
        <v>9182.6929457827318</v>
      </c>
      <c r="P1192" s="337">
        <f t="shared" si="736"/>
        <v>12700</v>
      </c>
      <c r="Q1192" s="337">
        <f t="shared" si="736"/>
        <v>12300</v>
      </c>
      <c r="R1192" s="359">
        <f t="shared" si="736"/>
        <v>10738</v>
      </c>
      <c r="S1192" s="360">
        <f t="shared" si="736"/>
        <v>0</v>
      </c>
      <c r="T1192" s="360"/>
      <c r="U1192" s="360"/>
      <c r="V1192" s="200">
        <f>V1194</f>
        <v>14000</v>
      </c>
      <c r="W1192" s="200">
        <f>W1194</f>
        <v>14000</v>
      </c>
      <c r="X1192" s="359">
        <f>X1194</f>
        <v>22000</v>
      </c>
      <c r="Y1192" s="371">
        <f>Y1194</f>
        <v>23000</v>
      </c>
      <c r="Z1192" s="371">
        <f>Z1194</f>
        <v>0</v>
      </c>
      <c r="AA1192" s="370" t="e">
        <f t="shared" ca="1" si="727"/>
        <v>#NAME?</v>
      </c>
      <c r="AB1192" s="371"/>
      <c r="AC1192" s="372">
        <f>AC1194</f>
        <v>13000</v>
      </c>
      <c r="AD1192" s="372">
        <f>AD1194</f>
        <v>13000</v>
      </c>
      <c r="AE1192" s="178">
        <f>O1192/M1192*100</f>
        <v>79.420306491419396</v>
      </c>
      <c r="AF1192" s="178">
        <f>P1192/O1192*100</f>
        <v>138.30365531096885</v>
      </c>
      <c r="AG1192" s="178">
        <f>Q1192/P1192*100</f>
        <v>96.850393700787393</v>
      </c>
      <c r="AH1192" s="178">
        <f>AC1192/Q1192*100</f>
        <v>105.6910569105691</v>
      </c>
      <c r="AI1192" s="371"/>
      <c r="AJ1192" s="371">
        <v>23000</v>
      </c>
      <c r="AK1192" s="171">
        <f t="shared" si="724"/>
        <v>130.3780964797914</v>
      </c>
      <c r="AL1192" s="171">
        <f t="shared" si="725"/>
        <v>157.14285714285714</v>
      </c>
      <c r="AM1192" s="171">
        <f t="shared" si="725"/>
        <v>104.54545454545455</v>
      </c>
      <c r="AN1192" s="360"/>
      <c r="AO1192" s="193"/>
      <c r="AP1192" s="193" t="e">
        <f t="shared" ca="1" si="728"/>
        <v>#NAME?</v>
      </c>
      <c r="AQ1192" s="200">
        <f>AQ1194</f>
        <v>13430</v>
      </c>
      <c r="AR1192" s="204">
        <f t="shared" si="733"/>
        <v>130.3780964797914</v>
      </c>
      <c r="AS1192" s="204">
        <f>W1192/V1192*100</f>
        <v>100</v>
      </c>
      <c r="AT1192" s="204">
        <f t="shared" si="734"/>
        <v>130.3780964797914</v>
      </c>
      <c r="AU1192" s="204">
        <f>AQ1192/W1192*100</f>
        <v>95.928571428571431</v>
      </c>
      <c r="AV1192" s="204">
        <f t="shared" si="735"/>
        <v>125.06984540882846</v>
      </c>
    </row>
    <row r="1193" spans="1:48" ht="12" customHeight="1">
      <c r="A1193" s="53"/>
      <c r="B1193" s="53"/>
      <c r="C1193" s="53"/>
      <c r="D1193" s="53"/>
      <c r="E1193" s="53"/>
      <c r="F1193" s="53"/>
      <c r="G1193" s="53"/>
      <c r="H1193" s="1"/>
      <c r="I1193" s="397"/>
      <c r="J1193" s="229"/>
      <c r="K1193" s="18"/>
      <c r="L1193" s="130"/>
      <c r="M1193" s="130"/>
      <c r="N1193" s="131"/>
      <c r="O1193" s="131"/>
      <c r="P1193" s="132"/>
      <c r="Q1193" s="132"/>
      <c r="R1193" s="159"/>
      <c r="S1193" s="165"/>
      <c r="T1193" s="165"/>
      <c r="U1193" s="165"/>
      <c r="V1193" s="200"/>
      <c r="W1193" s="200"/>
      <c r="X1193" s="164"/>
      <c r="Y1193" s="378"/>
      <c r="Z1193" s="378"/>
      <c r="AA1193" s="370" t="e">
        <f t="shared" ca="1" si="727"/>
        <v>#NAME?</v>
      </c>
      <c r="AB1193" s="183"/>
      <c r="AC1193" s="178"/>
      <c r="AD1193" s="178"/>
      <c r="AE1193" s="178"/>
      <c r="AF1193" s="178"/>
      <c r="AG1193" s="178"/>
      <c r="AH1193" s="178"/>
      <c r="AI1193" s="183"/>
      <c r="AJ1193" s="378"/>
      <c r="AK1193" s="171"/>
      <c r="AL1193" s="171"/>
      <c r="AM1193" s="171"/>
      <c r="AN1193" s="165"/>
      <c r="AO1193" s="193"/>
      <c r="AP1193" s="193" t="e">
        <f t="shared" ca="1" si="728"/>
        <v>#NAME?</v>
      </c>
      <c r="AQ1193" s="200"/>
      <c r="AR1193" s="204"/>
      <c r="AS1193" s="204"/>
      <c r="AT1193" s="204"/>
      <c r="AU1193" s="204"/>
      <c r="AV1193" s="204"/>
    </row>
    <row r="1194" spans="1:48" ht="12" customHeight="1">
      <c r="A1194" s="24"/>
      <c r="B1194" s="24"/>
      <c r="C1194" s="24"/>
      <c r="D1194" s="24"/>
      <c r="E1194" s="24"/>
      <c r="F1194" s="24"/>
      <c r="G1194" s="24"/>
      <c r="H1194" s="393"/>
      <c r="I1194" s="465"/>
      <c r="J1194" s="281">
        <v>3</v>
      </c>
      <c r="K1194" s="2" t="s">
        <v>224</v>
      </c>
      <c r="L1194" s="112">
        <f t="shared" ref="L1194:Z1194" si="737">L1195</f>
        <v>87115</v>
      </c>
      <c r="M1194" s="112">
        <f t="shared" si="737"/>
        <v>11562.147455040147</v>
      </c>
      <c r="N1194" s="113">
        <f t="shared" si="737"/>
        <v>69187</v>
      </c>
      <c r="O1194" s="113">
        <f t="shared" si="737"/>
        <v>9182.6929457827318</v>
      </c>
      <c r="P1194" s="114">
        <f t="shared" si="737"/>
        <v>12700</v>
      </c>
      <c r="Q1194" s="114">
        <f t="shared" si="737"/>
        <v>12300</v>
      </c>
      <c r="R1194" s="88">
        <f t="shared" si="737"/>
        <v>10738</v>
      </c>
      <c r="S1194" s="90">
        <f t="shared" si="737"/>
        <v>0</v>
      </c>
      <c r="T1194" s="90"/>
      <c r="U1194" s="90"/>
      <c r="V1194" s="200">
        <f>V1195</f>
        <v>14000</v>
      </c>
      <c r="W1194" s="200">
        <f t="shared" si="737"/>
        <v>14000</v>
      </c>
      <c r="X1194" s="88">
        <f t="shared" si="737"/>
        <v>22000</v>
      </c>
      <c r="Y1194" s="171">
        <f t="shared" si="737"/>
        <v>23000</v>
      </c>
      <c r="Z1194" s="171">
        <f t="shared" si="737"/>
        <v>0</v>
      </c>
      <c r="AA1194" s="370" t="e">
        <f t="shared" ca="1" si="727"/>
        <v>#NAME?</v>
      </c>
      <c r="AB1194" s="171"/>
      <c r="AC1194" s="172">
        <f>AC1195</f>
        <v>13000</v>
      </c>
      <c r="AD1194" s="172">
        <f>AD1195</f>
        <v>13000</v>
      </c>
      <c r="AE1194" s="178">
        <f>O1194/M1194*100</f>
        <v>79.420306491419396</v>
      </c>
      <c r="AF1194" s="178">
        <f t="shared" ref="AF1194:AG1198" si="738">P1194/O1194*100</f>
        <v>138.30365531096885</v>
      </c>
      <c r="AG1194" s="178">
        <f t="shared" si="738"/>
        <v>96.850393700787393</v>
      </c>
      <c r="AH1194" s="178">
        <f>AC1194/Q1194*100</f>
        <v>105.6910569105691</v>
      </c>
      <c r="AI1194" s="171"/>
      <c r="AJ1194" s="171">
        <v>23000</v>
      </c>
      <c r="AK1194" s="171">
        <f t="shared" si="724"/>
        <v>130.3780964797914</v>
      </c>
      <c r="AL1194" s="171">
        <f t="shared" si="725"/>
        <v>157.14285714285714</v>
      </c>
      <c r="AM1194" s="171">
        <f t="shared" si="725"/>
        <v>104.54545454545455</v>
      </c>
      <c r="AN1194" s="90"/>
      <c r="AO1194" s="193"/>
      <c r="AP1194" s="193" t="e">
        <f t="shared" ca="1" si="728"/>
        <v>#NAME?</v>
      </c>
      <c r="AQ1194" s="200">
        <f>AQ1195</f>
        <v>13430</v>
      </c>
      <c r="AR1194" s="204">
        <f t="shared" si="733"/>
        <v>130.3780964797914</v>
      </c>
      <c r="AS1194" s="204">
        <f>W1194/V1194*100</f>
        <v>100</v>
      </c>
      <c r="AT1194" s="204">
        <f t="shared" si="734"/>
        <v>130.3780964797914</v>
      </c>
      <c r="AU1194" s="204">
        <f>AQ1194/W1194*100</f>
        <v>95.928571428571431</v>
      </c>
      <c r="AV1194" s="204">
        <f t="shared" si="735"/>
        <v>125.06984540882846</v>
      </c>
    </row>
    <row r="1195" spans="1:48" ht="12" customHeight="1">
      <c r="A1195" s="301"/>
      <c r="B1195" s="301"/>
      <c r="C1195" s="301"/>
      <c r="D1195" s="301"/>
      <c r="E1195" s="301"/>
      <c r="F1195" s="301"/>
      <c r="G1195" s="301"/>
      <c r="H1195" s="307"/>
      <c r="I1195" s="350"/>
      <c r="J1195" s="302">
        <v>32</v>
      </c>
      <c r="K1195" s="343" t="s">
        <v>233</v>
      </c>
      <c r="L1195" s="112">
        <f t="shared" ref="L1195:S1195" si="739">L1196+L1200</f>
        <v>87115</v>
      </c>
      <c r="M1195" s="112">
        <f t="shared" si="739"/>
        <v>11562.147455040147</v>
      </c>
      <c r="N1195" s="113">
        <f t="shared" si="739"/>
        <v>69187</v>
      </c>
      <c r="O1195" s="113">
        <f t="shared" si="739"/>
        <v>9182.6929457827318</v>
      </c>
      <c r="P1195" s="114">
        <f t="shared" si="739"/>
        <v>12700</v>
      </c>
      <c r="Q1195" s="114">
        <f t="shared" si="739"/>
        <v>12300</v>
      </c>
      <c r="R1195" s="88">
        <f t="shared" si="739"/>
        <v>10738</v>
      </c>
      <c r="S1195" s="90">
        <f t="shared" si="739"/>
        <v>0</v>
      </c>
      <c r="T1195" s="90"/>
      <c r="U1195" s="90"/>
      <c r="V1195" s="200">
        <f>V1196+V1200</f>
        <v>14000</v>
      </c>
      <c r="W1195" s="200">
        <f>W1196+W1200</f>
        <v>14000</v>
      </c>
      <c r="X1195" s="88">
        <f>X1196+X1200</f>
        <v>22000</v>
      </c>
      <c r="Y1195" s="171">
        <f>Y1196+Y1200</f>
        <v>23000</v>
      </c>
      <c r="Z1195" s="171">
        <f>Z1196+Z1200</f>
        <v>0</v>
      </c>
      <c r="AA1195" s="370" t="e">
        <f t="shared" ca="1" si="727"/>
        <v>#NAME?</v>
      </c>
      <c r="AB1195" s="171"/>
      <c r="AC1195" s="172">
        <f>AC1196+AC1200</f>
        <v>13000</v>
      </c>
      <c r="AD1195" s="172">
        <f>AD1196+AD1200</f>
        <v>13000</v>
      </c>
      <c r="AE1195" s="178">
        <f>O1195/M1195*100</f>
        <v>79.420306491419396</v>
      </c>
      <c r="AF1195" s="178">
        <f t="shared" si="738"/>
        <v>138.30365531096885</v>
      </c>
      <c r="AG1195" s="178">
        <f t="shared" si="738"/>
        <v>96.850393700787393</v>
      </c>
      <c r="AH1195" s="178">
        <f>AC1195/Q1195*100</f>
        <v>105.6910569105691</v>
      </c>
      <c r="AI1195" s="171"/>
      <c r="AJ1195" s="171">
        <v>23000</v>
      </c>
      <c r="AK1195" s="171">
        <f t="shared" si="724"/>
        <v>130.3780964797914</v>
      </c>
      <c r="AL1195" s="171">
        <f t="shared" si="725"/>
        <v>157.14285714285714</v>
      </c>
      <c r="AM1195" s="171">
        <f t="shared" si="725"/>
        <v>104.54545454545455</v>
      </c>
      <c r="AN1195" s="90"/>
      <c r="AO1195" s="193"/>
      <c r="AP1195" s="193" t="e">
        <f t="shared" ca="1" si="728"/>
        <v>#NAME?</v>
      </c>
      <c r="AQ1195" s="200">
        <f>AQ1196+AQ1200</f>
        <v>13430</v>
      </c>
      <c r="AR1195" s="204">
        <f t="shared" si="733"/>
        <v>130.3780964797914</v>
      </c>
      <c r="AS1195" s="204">
        <f>W1195/V1195*100</f>
        <v>100</v>
      </c>
      <c r="AT1195" s="204">
        <f t="shared" si="734"/>
        <v>130.3780964797914</v>
      </c>
      <c r="AU1195" s="204">
        <f>AQ1195/W1195*100</f>
        <v>95.928571428571431</v>
      </c>
      <c r="AV1195" s="204">
        <f t="shared" si="735"/>
        <v>125.06984540882846</v>
      </c>
    </row>
    <row r="1196" spans="1:48" ht="12" customHeight="1">
      <c r="A1196" s="62"/>
      <c r="B1196" s="62"/>
      <c r="C1196" s="62"/>
      <c r="D1196" s="62"/>
      <c r="E1196" s="62"/>
      <c r="F1196" s="62"/>
      <c r="G1196" s="62"/>
      <c r="H1196" s="304"/>
      <c r="I1196" s="464"/>
      <c r="J1196" s="303">
        <v>323</v>
      </c>
      <c r="K1196" s="19" t="s">
        <v>356</v>
      </c>
      <c r="L1196" s="112">
        <f t="shared" ref="L1196:S1196" si="740">L1197+L1198</f>
        <v>71775</v>
      </c>
      <c r="M1196" s="112">
        <f t="shared" si="740"/>
        <v>9526.1795739597837</v>
      </c>
      <c r="N1196" s="113">
        <f t="shared" si="740"/>
        <v>53631</v>
      </c>
      <c r="O1196" s="113">
        <f t="shared" si="740"/>
        <v>7118.0569380848101</v>
      </c>
      <c r="P1196" s="114">
        <f t="shared" si="740"/>
        <v>10000</v>
      </c>
      <c r="Q1196" s="114">
        <f t="shared" si="740"/>
        <v>7300</v>
      </c>
      <c r="R1196" s="88">
        <f t="shared" si="740"/>
        <v>7500</v>
      </c>
      <c r="S1196" s="90">
        <f t="shared" si="740"/>
        <v>0</v>
      </c>
      <c r="T1196" s="90"/>
      <c r="U1196" s="90"/>
      <c r="V1196" s="200">
        <f>V1197+V1198</f>
        <v>8000</v>
      </c>
      <c r="W1196" s="200">
        <f>W1197+W1198</f>
        <v>8000</v>
      </c>
      <c r="X1196" s="88">
        <f>X1197+X1198</f>
        <v>12000</v>
      </c>
      <c r="Y1196" s="171">
        <f>Y1197+Y1198</f>
        <v>12000</v>
      </c>
      <c r="Z1196" s="171">
        <f>Z1197+Z1198</f>
        <v>0</v>
      </c>
      <c r="AA1196" s="370" t="e">
        <f t="shared" ca="1" si="727"/>
        <v>#NAME?</v>
      </c>
      <c r="AB1196" s="171"/>
      <c r="AC1196" s="172">
        <f>AC1197+AC1198</f>
        <v>10000</v>
      </c>
      <c r="AD1196" s="172">
        <f>AD1197+AD1198</f>
        <v>10000</v>
      </c>
      <c r="AE1196" s="178">
        <f>O1196/M1196*100</f>
        <v>74.721003134796248</v>
      </c>
      <c r="AF1196" s="178">
        <f t="shared" si="738"/>
        <v>140.48777759131846</v>
      </c>
      <c r="AG1196" s="178">
        <f t="shared" si="738"/>
        <v>73</v>
      </c>
      <c r="AH1196" s="178">
        <f>AC1196/Q1196*100</f>
        <v>136.98630136986301</v>
      </c>
      <c r="AI1196" s="171"/>
      <c r="AJ1196" s="171">
        <v>12000</v>
      </c>
      <c r="AK1196" s="171">
        <f t="shared" si="724"/>
        <v>106.66666666666667</v>
      </c>
      <c r="AL1196" s="171">
        <f t="shared" si="725"/>
        <v>150</v>
      </c>
      <c r="AM1196" s="171">
        <f t="shared" si="725"/>
        <v>100</v>
      </c>
      <c r="AN1196" s="90"/>
      <c r="AO1196" s="193"/>
      <c r="AP1196" s="193" t="e">
        <f t="shared" ca="1" si="728"/>
        <v>#NAME?</v>
      </c>
      <c r="AQ1196" s="200">
        <f>AQ1197+AQ1198</f>
        <v>12237</v>
      </c>
      <c r="AR1196" s="204">
        <f t="shared" si="733"/>
        <v>106.66666666666667</v>
      </c>
      <c r="AS1196" s="204">
        <f>W1196/V1196*100</f>
        <v>100</v>
      </c>
      <c r="AT1196" s="204">
        <f t="shared" si="734"/>
        <v>106.66666666666667</v>
      </c>
      <c r="AU1196" s="204">
        <f>AQ1196/W1196*100</f>
        <v>152.96250000000001</v>
      </c>
      <c r="AV1196" s="204">
        <f t="shared" si="735"/>
        <v>163.16</v>
      </c>
    </row>
    <row r="1197" spans="1:48" ht="12" customHeight="1">
      <c r="A1197" s="53"/>
      <c r="B1197" s="53"/>
      <c r="C1197" s="53"/>
      <c r="D1197" s="53"/>
      <c r="E1197" s="53"/>
      <c r="F1197" s="53"/>
      <c r="G1197" s="53"/>
      <c r="H1197" s="1" t="s">
        <v>879</v>
      </c>
      <c r="I1197" s="397">
        <v>820</v>
      </c>
      <c r="J1197" s="229">
        <v>3237</v>
      </c>
      <c r="K1197" s="18" t="s">
        <v>253</v>
      </c>
      <c r="L1197" s="130">
        <v>34867</v>
      </c>
      <c r="M1197" s="130">
        <f>34867/7.5345</f>
        <v>4627.6461609927665</v>
      </c>
      <c r="N1197" s="131">
        <v>45362</v>
      </c>
      <c r="O1197" s="131">
        <f>N1197/7.5345</f>
        <v>6020.572035304267</v>
      </c>
      <c r="P1197" s="132">
        <v>5000</v>
      </c>
      <c r="Q1197" s="163">
        <v>1000</v>
      </c>
      <c r="R1197" s="159">
        <v>1099</v>
      </c>
      <c r="S1197" s="165"/>
      <c r="T1197" s="165"/>
      <c r="U1197" s="165"/>
      <c r="V1197" s="200">
        <v>1000</v>
      </c>
      <c r="W1197" s="200">
        <v>1000</v>
      </c>
      <c r="X1197" s="164">
        <v>2000</v>
      </c>
      <c r="Y1197" s="378">
        <v>2000</v>
      </c>
      <c r="Z1197" s="378"/>
      <c r="AA1197" s="370" t="e">
        <f t="shared" ca="1" si="727"/>
        <v>#NAME?</v>
      </c>
      <c r="AB1197" s="183"/>
      <c r="AC1197" s="178">
        <v>5000</v>
      </c>
      <c r="AD1197" s="178">
        <v>5000</v>
      </c>
      <c r="AE1197" s="178">
        <f>O1197/M1197*100</f>
        <v>130.10009464536668</v>
      </c>
      <c r="AF1197" s="178">
        <f t="shared" si="738"/>
        <v>83.048586922975176</v>
      </c>
      <c r="AG1197" s="178">
        <f t="shared" si="738"/>
        <v>20</v>
      </c>
      <c r="AH1197" s="178">
        <f>AC1197/Q1197*100</f>
        <v>500</v>
      </c>
      <c r="AI1197" s="183"/>
      <c r="AJ1197" s="378">
        <v>2000</v>
      </c>
      <c r="AK1197" s="171">
        <f t="shared" si="724"/>
        <v>90.99181073703366</v>
      </c>
      <c r="AL1197" s="171">
        <f t="shared" si="725"/>
        <v>200</v>
      </c>
      <c r="AM1197" s="171">
        <f t="shared" si="725"/>
        <v>100</v>
      </c>
      <c r="AN1197" s="165"/>
      <c r="AO1197" s="193"/>
      <c r="AP1197" s="193" t="e">
        <f t="shared" ca="1" si="728"/>
        <v>#NAME?</v>
      </c>
      <c r="AQ1197" s="200">
        <v>6693</v>
      </c>
      <c r="AR1197" s="204">
        <f t="shared" si="733"/>
        <v>90.99181073703366</v>
      </c>
      <c r="AS1197" s="204">
        <f>W1197/V1197*100</f>
        <v>100</v>
      </c>
      <c r="AT1197" s="204">
        <f t="shared" si="734"/>
        <v>90.99181073703366</v>
      </c>
      <c r="AU1197" s="204">
        <f>AQ1197/W1197*100</f>
        <v>669.3</v>
      </c>
      <c r="AV1197" s="204">
        <f t="shared" si="735"/>
        <v>609.00818926296631</v>
      </c>
    </row>
    <row r="1198" spans="1:48" ht="12" customHeight="1">
      <c r="A1198" s="53"/>
      <c r="B1198" s="53"/>
      <c r="C1198" s="53"/>
      <c r="D1198" s="53"/>
      <c r="E1198" s="53"/>
      <c r="F1198" s="53"/>
      <c r="G1198" s="53"/>
      <c r="H1198" s="1">
        <v>252</v>
      </c>
      <c r="I1198" s="397">
        <v>820</v>
      </c>
      <c r="J1198" s="229">
        <v>3239</v>
      </c>
      <c r="K1198" s="18" t="s">
        <v>255</v>
      </c>
      <c r="L1198" s="130">
        <v>36908</v>
      </c>
      <c r="M1198" s="130">
        <f>36908/7.5345</f>
        <v>4898.5334129670182</v>
      </c>
      <c r="N1198" s="131">
        <v>8269</v>
      </c>
      <c r="O1198" s="131">
        <f>N1198/7.5345</f>
        <v>1097.4849027805428</v>
      </c>
      <c r="P1198" s="132">
        <v>5000</v>
      </c>
      <c r="Q1198" s="163">
        <v>6300</v>
      </c>
      <c r="R1198" s="159">
        <v>6401</v>
      </c>
      <c r="S1198" s="165"/>
      <c r="T1198" s="165"/>
      <c r="U1198" s="165"/>
      <c r="V1198" s="200">
        <v>7000</v>
      </c>
      <c r="W1198" s="200">
        <v>7000</v>
      </c>
      <c r="X1198" s="164">
        <v>10000</v>
      </c>
      <c r="Y1198" s="378">
        <v>10000</v>
      </c>
      <c r="Z1198" s="378"/>
      <c r="AA1198" s="370" t="e">
        <f t="shared" ca="1" si="727"/>
        <v>#NAME?</v>
      </c>
      <c r="AB1198" s="183"/>
      <c r="AC1198" s="178">
        <v>5000</v>
      </c>
      <c r="AD1198" s="178">
        <v>5000</v>
      </c>
      <c r="AE1198" s="178">
        <f>O1198/M1198*100</f>
        <v>22.404356779018102</v>
      </c>
      <c r="AF1198" s="178">
        <f t="shared" si="738"/>
        <v>455.58713266416737</v>
      </c>
      <c r="AG1198" s="178">
        <f t="shared" si="738"/>
        <v>126</v>
      </c>
      <c r="AH1198" s="178">
        <f>AC1198/Q1198*100</f>
        <v>79.365079365079367</v>
      </c>
      <c r="AI1198" s="183"/>
      <c r="AJ1198" s="378">
        <v>10000</v>
      </c>
      <c r="AK1198" s="171">
        <f t="shared" si="724"/>
        <v>109.35791282612092</v>
      </c>
      <c r="AL1198" s="171">
        <f t="shared" si="725"/>
        <v>142.85714285714286</v>
      </c>
      <c r="AM1198" s="171">
        <f t="shared" si="725"/>
        <v>100</v>
      </c>
      <c r="AN1198" s="165"/>
      <c r="AO1198" s="193"/>
      <c r="AP1198" s="193" t="e">
        <f t="shared" ca="1" si="728"/>
        <v>#NAME?</v>
      </c>
      <c r="AQ1198" s="200">
        <v>5544</v>
      </c>
      <c r="AR1198" s="204">
        <f t="shared" si="733"/>
        <v>109.35791282612092</v>
      </c>
      <c r="AS1198" s="204">
        <f>W1198/V1198*100</f>
        <v>100</v>
      </c>
      <c r="AT1198" s="204">
        <f t="shared" si="734"/>
        <v>109.35791282612092</v>
      </c>
      <c r="AU1198" s="204">
        <f>AQ1198/W1198*100</f>
        <v>79.2</v>
      </c>
      <c r="AV1198" s="204">
        <f t="shared" si="735"/>
        <v>86.611466958287764</v>
      </c>
    </row>
    <row r="1199" spans="1:48" ht="12" customHeight="1">
      <c r="A1199" s="53"/>
      <c r="B1199" s="53"/>
      <c r="C1199" s="53"/>
      <c r="D1199" s="53"/>
      <c r="E1199" s="53"/>
      <c r="F1199" s="53"/>
      <c r="G1199" s="53"/>
      <c r="H1199" s="1"/>
      <c r="I1199" s="397"/>
      <c r="J1199" s="229"/>
      <c r="K1199" s="18"/>
      <c r="L1199" s="130"/>
      <c r="M1199" s="130"/>
      <c r="N1199" s="131"/>
      <c r="O1199" s="131"/>
      <c r="P1199" s="132"/>
      <c r="Q1199" s="132"/>
      <c r="R1199" s="159"/>
      <c r="S1199" s="165"/>
      <c r="T1199" s="165"/>
      <c r="U1199" s="165"/>
      <c r="V1199" s="200"/>
      <c r="W1199" s="200"/>
      <c r="X1199" s="164"/>
      <c r="Y1199" s="378"/>
      <c r="Z1199" s="378"/>
      <c r="AA1199" s="370" t="e">
        <f t="shared" ca="1" si="727"/>
        <v>#NAME?</v>
      </c>
      <c r="AB1199" s="183"/>
      <c r="AC1199" s="178"/>
      <c r="AD1199" s="178"/>
      <c r="AE1199" s="178"/>
      <c r="AF1199" s="178"/>
      <c r="AG1199" s="178"/>
      <c r="AH1199" s="178"/>
      <c r="AI1199" s="183"/>
      <c r="AJ1199" s="378"/>
      <c r="AK1199" s="171"/>
      <c r="AL1199" s="171"/>
      <c r="AM1199" s="171"/>
      <c r="AN1199" s="165"/>
      <c r="AO1199" s="193"/>
      <c r="AP1199" s="193" t="e">
        <f t="shared" ca="1" si="728"/>
        <v>#NAME?</v>
      </c>
      <c r="AQ1199" s="200"/>
      <c r="AR1199" s="204"/>
      <c r="AS1199" s="204"/>
      <c r="AT1199" s="204"/>
      <c r="AU1199" s="204"/>
      <c r="AV1199" s="204"/>
    </row>
    <row r="1200" spans="1:48" ht="12" customHeight="1">
      <c r="A1200" s="62"/>
      <c r="B1200" s="62"/>
      <c r="C1200" s="62"/>
      <c r="D1200" s="62"/>
      <c r="E1200" s="62"/>
      <c r="F1200" s="62"/>
      <c r="G1200" s="62"/>
      <c r="H1200" s="304"/>
      <c r="I1200" s="464"/>
      <c r="J1200" s="303">
        <v>329</v>
      </c>
      <c r="K1200" s="19" t="s">
        <v>633</v>
      </c>
      <c r="L1200" s="112">
        <f t="shared" ref="L1200:Z1200" si="741">L1201</f>
        <v>15340</v>
      </c>
      <c r="M1200" s="112">
        <f t="shared" si="741"/>
        <v>2035.9678810803634</v>
      </c>
      <c r="N1200" s="113">
        <f t="shared" si="741"/>
        <v>15556</v>
      </c>
      <c r="O1200" s="113">
        <f t="shared" si="741"/>
        <v>2064.6360076979227</v>
      </c>
      <c r="P1200" s="114">
        <f t="shared" si="741"/>
        <v>2700</v>
      </c>
      <c r="Q1200" s="114">
        <f t="shared" si="741"/>
        <v>5000</v>
      </c>
      <c r="R1200" s="88">
        <f t="shared" si="741"/>
        <v>3238</v>
      </c>
      <c r="S1200" s="90">
        <f t="shared" si="741"/>
        <v>0</v>
      </c>
      <c r="T1200" s="90"/>
      <c r="U1200" s="90"/>
      <c r="V1200" s="200">
        <f>V1201</f>
        <v>6000</v>
      </c>
      <c r="W1200" s="200">
        <f t="shared" si="741"/>
        <v>6000</v>
      </c>
      <c r="X1200" s="88">
        <f t="shared" si="741"/>
        <v>10000</v>
      </c>
      <c r="Y1200" s="171">
        <f t="shared" si="741"/>
        <v>11000</v>
      </c>
      <c r="Z1200" s="171">
        <f t="shared" si="741"/>
        <v>0</v>
      </c>
      <c r="AA1200" s="370" t="e">
        <f t="shared" ca="1" si="727"/>
        <v>#NAME?</v>
      </c>
      <c r="AB1200" s="171"/>
      <c r="AC1200" s="172">
        <f>AC1201</f>
        <v>3000</v>
      </c>
      <c r="AD1200" s="172">
        <f>AD1201</f>
        <v>3000</v>
      </c>
      <c r="AE1200" s="178">
        <f>O1200/M1200*100</f>
        <v>101.40808344198176</v>
      </c>
      <c r="AF1200" s="178">
        <f>P1200/O1200*100</f>
        <v>130.7736564669581</v>
      </c>
      <c r="AG1200" s="178">
        <f>Q1200/P1200*100</f>
        <v>185.18518518518519</v>
      </c>
      <c r="AH1200" s="178">
        <f>AC1200/Q1200*100</f>
        <v>60</v>
      </c>
      <c r="AI1200" s="171"/>
      <c r="AJ1200" s="171">
        <v>11000</v>
      </c>
      <c r="AK1200" s="171">
        <f t="shared" si="724"/>
        <v>185.2995676343422</v>
      </c>
      <c r="AL1200" s="171">
        <f t="shared" si="725"/>
        <v>166.66666666666669</v>
      </c>
      <c r="AM1200" s="171">
        <f t="shared" si="725"/>
        <v>110.00000000000001</v>
      </c>
      <c r="AN1200" s="90"/>
      <c r="AO1200" s="193"/>
      <c r="AP1200" s="193" t="e">
        <f t="shared" ca="1" si="728"/>
        <v>#NAME?</v>
      </c>
      <c r="AQ1200" s="200">
        <f>AQ1201</f>
        <v>1193</v>
      </c>
      <c r="AR1200" s="204">
        <f t="shared" si="733"/>
        <v>185.2995676343422</v>
      </c>
      <c r="AS1200" s="204">
        <f>W1200/V1200*100</f>
        <v>100</v>
      </c>
      <c r="AT1200" s="204">
        <f t="shared" si="734"/>
        <v>185.2995676343422</v>
      </c>
      <c r="AU1200" s="204">
        <f>AQ1200/W1200*100</f>
        <v>19.883333333333333</v>
      </c>
      <c r="AV1200" s="204">
        <f t="shared" si="735"/>
        <v>36.843730697961711</v>
      </c>
    </row>
    <row r="1201" spans="1:48" ht="12" customHeight="1">
      <c r="A1201" s="53"/>
      <c r="B1201" s="53"/>
      <c r="C1201" s="53"/>
      <c r="D1201" s="53"/>
      <c r="E1201" s="53"/>
      <c r="F1201" s="53"/>
      <c r="G1201" s="53"/>
      <c r="H1201" s="1" t="s">
        <v>880</v>
      </c>
      <c r="I1201" s="397">
        <v>820</v>
      </c>
      <c r="J1201" s="229">
        <v>3299</v>
      </c>
      <c r="K1201" s="18" t="s">
        <v>881</v>
      </c>
      <c r="L1201" s="130">
        <v>15340</v>
      </c>
      <c r="M1201" s="130">
        <f>15340/7.5345</f>
        <v>2035.9678810803634</v>
      </c>
      <c r="N1201" s="131">
        <v>15556</v>
      </c>
      <c r="O1201" s="131">
        <f>N1201/7.5345</f>
        <v>2064.6360076979227</v>
      </c>
      <c r="P1201" s="132">
        <v>2700</v>
      </c>
      <c r="Q1201" s="163">
        <v>5000</v>
      </c>
      <c r="R1201" s="159">
        <v>3238</v>
      </c>
      <c r="S1201" s="165"/>
      <c r="T1201" s="165"/>
      <c r="U1201" s="165"/>
      <c r="V1201" s="200">
        <v>6000</v>
      </c>
      <c r="W1201" s="200">
        <v>6000</v>
      </c>
      <c r="X1201" s="164">
        <v>10000</v>
      </c>
      <c r="Y1201" s="378">
        <v>11000</v>
      </c>
      <c r="Z1201" s="378"/>
      <c r="AA1201" s="370" t="e">
        <f t="shared" ca="1" si="727"/>
        <v>#NAME?</v>
      </c>
      <c r="AB1201" s="183"/>
      <c r="AC1201" s="178">
        <v>3000</v>
      </c>
      <c r="AD1201" s="178">
        <v>3000</v>
      </c>
      <c r="AE1201" s="178">
        <f>O1201/M1201*100</f>
        <v>101.40808344198176</v>
      </c>
      <c r="AF1201" s="178">
        <f>P1201/O1201*100</f>
        <v>130.7736564669581</v>
      </c>
      <c r="AG1201" s="178">
        <f>Q1201/P1201*100</f>
        <v>185.18518518518519</v>
      </c>
      <c r="AH1201" s="178">
        <f>AC1201/Q1201*100</f>
        <v>60</v>
      </c>
      <c r="AI1201" s="183"/>
      <c r="AJ1201" s="378">
        <v>11000</v>
      </c>
      <c r="AK1201" s="171">
        <f t="shared" si="724"/>
        <v>185.2995676343422</v>
      </c>
      <c r="AL1201" s="171">
        <f t="shared" si="725"/>
        <v>166.66666666666669</v>
      </c>
      <c r="AM1201" s="171">
        <f t="shared" si="725"/>
        <v>110.00000000000001</v>
      </c>
      <c r="AN1201" s="165"/>
      <c r="AO1201" s="193"/>
      <c r="AP1201" s="193" t="e">
        <f t="shared" ca="1" si="728"/>
        <v>#NAME?</v>
      </c>
      <c r="AQ1201" s="200">
        <v>1193</v>
      </c>
      <c r="AR1201" s="204">
        <f t="shared" si="733"/>
        <v>185.2995676343422</v>
      </c>
      <c r="AS1201" s="204">
        <f>W1201/V1201*100</f>
        <v>100</v>
      </c>
      <c r="AT1201" s="204">
        <f t="shared" si="734"/>
        <v>185.2995676343422</v>
      </c>
      <c r="AU1201" s="204">
        <f>AQ1201/W1201*100</f>
        <v>19.883333333333333</v>
      </c>
      <c r="AV1201" s="204">
        <f t="shared" si="735"/>
        <v>36.843730697961711</v>
      </c>
    </row>
    <row r="1202" spans="1:48" ht="12" customHeight="1">
      <c r="A1202" s="53"/>
      <c r="B1202" s="53"/>
      <c r="C1202" s="53"/>
      <c r="D1202" s="53"/>
      <c r="E1202" s="53"/>
      <c r="F1202" s="53"/>
      <c r="G1202" s="53"/>
      <c r="H1202" s="1"/>
      <c r="I1202" s="397"/>
      <c r="J1202" s="229"/>
      <c r="K1202" s="18"/>
      <c r="L1202" s="130"/>
      <c r="M1202" s="130"/>
      <c r="N1202" s="131"/>
      <c r="O1202" s="131"/>
      <c r="P1202" s="132"/>
      <c r="Q1202" s="132"/>
      <c r="R1202" s="159"/>
      <c r="S1202" s="165"/>
      <c r="T1202" s="165"/>
      <c r="U1202" s="165"/>
      <c r="V1202" s="200"/>
      <c r="W1202" s="200"/>
      <c r="X1202" s="164"/>
      <c r="Y1202" s="378"/>
      <c r="Z1202" s="378"/>
      <c r="AA1202" s="370" t="e">
        <f t="shared" ca="1" si="727"/>
        <v>#NAME?</v>
      </c>
      <c r="AB1202" s="183"/>
      <c r="AC1202" s="178"/>
      <c r="AD1202" s="178"/>
      <c r="AE1202" s="178"/>
      <c r="AF1202" s="178"/>
      <c r="AG1202" s="178"/>
      <c r="AH1202" s="178"/>
      <c r="AI1202" s="183"/>
      <c r="AJ1202" s="378"/>
      <c r="AK1202" s="171"/>
      <c r="AL1202" s="171"/>
      <c r="AM1202" s="171"/>
      <c r="AN1202" s="165"/>
      <c r="AO1202" s="193"/>
      <c r="AP1202" s="193" t="e">
        <f t="shared" ca="1" si="728"/>
        <v>#NAME?</v>
      </c>
      <c r="AQ1202" s="200"/>
      <c r="AR1202" s="204"/>
      <c r="AS1202" s="204"/>
      <c r="AT1202" s="204"/>
      <c r="AU1202" s="204"/>
      <c r="AV1202" s="204"/>
    </row>
    <row r="1203" spans="1:48" ht="12" customHeight="1">
      <c r="A1203" s="390" t="s">
        <v>882</v>
      </c>
      <c r="B1203" s="391"/>
      <c r="C1203" s="391"/>
      <c r="D1203" s="391"/>
      <c r="E1203" s="391"/>
      <c r="F1203" s="391"/>
      <c r="G1203" s="391"/>
      <c r="H1203" s="392"/>
      <c r="I1203" s="485" t="s">
        <v>883</v>
      </c>
      <c r="J1203" s="486"/>
      <c r="K1203" s="300"/>
      <c r="L1203" s="112">
        <f t="shared" ref="L1203:S1203" si="742">L1205</f>
        <v>0</v>
      </c>
      <c r="M1203" s="112">
        <f t="shared" si="742"/>
        <v>0</v>
      </c>
      <c r="N1203" s="113">
        <f t="shared" si="742"/>
        <v>24933</v>
      </c>
      <c r="O1203" s="113">
        <f t="shared" si="742"/>
        <v>3309.1777822018712</v>
      </c>
      <c r="P1203" s="114">
        <f t="shared" si="742"/>
        <v>17400</v>
      </c>
      <c r="Q1203" s="114">
        <f t="shared" si="742"/>
        <v>16900</v>
      </c>
      <c r="R1203" s="88">
        <f t="shared" si="742"/>
        <v>16560</v>
      </c>
      <c r="S1203" s="90">
        <f t="shared" si="742"/>
        <v>0</v>
      </c>
      <c r="T1203" s="90"/>
      <c r="U1203" s="90"/>
      <c r="V1203" s="200">
        <f>V1205</f>
        <v>6000</v>
      </c>
      <c r="W1203" s="200">
        <f>W1205</f>
        <v>6000</v>
      </c>
      <c r="X1203" s="88">
        <f>X1205</f>
        <v>18000</v>
      </c>
      <c r="Y1203" s="171">
        <f>Y1205</f>
        <v>18000</v>
      </c>
      <c r="Z1203" s="171">
        <f>Z1205</f>
        <v>0</v>
      </c>
      <c r="AA1203" s="370" t="e">
        <f t="shared" ca="1" si="727"/>
        <v>#NAME?</v>
      </c>
      <c r="AB1203" s="171"/>
      <c r="AC1203" s="172">
        <f>AC1205</f>
        <v>4000</v>
      </c>
      <c r="AD1203" s="172">
        <f>AD1205</f>
        <v>4000</v>
      </c>
      <c r="AE1203" s="178"/>
      <c r="AF1203" s="178">
        <f>P1203/O1203*100</f>
        <v>525.81037179641442</v>
      </c>
      <c r="AG1203" s="178">
        <f>Q1203/P1203*100</f>
        <v>97.126436781609186</v>
      </c>
      <c r="AH1203" s="178">
        <f>AC1203/Q1203*100</f>
        <v>23.668639053254438</v>
      </c>
      <c r="AI1203" s="171"/>
      <c r="AJ1203" s="171">
        <v>18000</v>
      </c>
      <c r="AK1203" s="171">
        <f t="shared" si="724"/>
        <v>36.231884057971016</v>
      </c>
      <c r="AL1203" s="171">
        <f t="shared" si="725"/>
        <v>300</v>
      </c>
      <c r="AM1203" s="171">
        <f t="shared" si="725"/>
        <v>100</v>
      </c>
      <c r="AN1203" s="90"/>
      <c r="AO1203" s="193"/>
      <c r="AP1203" s="193" t="e">
        <f t="shared" ca="1" si="728"/>
        <v>#NAME?</v>
      </c>
      <c r="AQ1203" s="200">
        <f>AQ1205</f>
        <v>0</v>
      </c>
      <c r="AR1203" s="204">
        <f t="shared" si="733"/>
        <v>36.231884057971016</v>
      </c>
      <c r="AS1203" s="204">
        <f>W1203/V1203*100</f>
        <v>100</v>
      </c>
      <c r="AT1203" s="204">
        <f t="shared" si="734"/>
        <v>36.231884057971016</v>
      </c>
      <c r="AU1203" s="204">
        <f>AQ1203/W1203*100</f>
        <v>0</v>
      </c>
      <c r="AV1203" s="204">
        <f t="shared" si="735"/>
        <v>0</v>
      </c>
    </row>
    <row r="1204" spans="1:48" ht="12" customHeight="1">
      <c r="A1204" s="42"/>
      <c r="B1204" s="42"/>
      <c r="C1204" s="42"/>
      <c r="D1204" s="42"/>
      <c r="E1204" s="42"/>
      <c r="F1204" s="42"/>
      <c r="G1204" s="42"/>
      <c r="H1204" s="308"/>
      <c r="I1204" s="14"/>
      <c r="J1204" s="2"/>
      <c r="K1204" s="84"/>
      <c r="L1204" s="85"/>
      <c r="M1204" s="85"/>
      <c r="N1204" s="86"/>
      <c r="O1204" s="86"/>
      <c r="P1204" s="87"/>
      <c r="Q1204" s="87"/>
      <c r="R1204" s="160"/>
      <c r="S1204" s="161"/>
      <c r="T1204" s="161"/>
      <c r="U1204" s="161"/>
      <c r="V1204" s="200"/>
      <c r="W1204" s="200"/>
      <c r="X1204" s="361"/>
      <c r="Y1204" s="373"/>
      <c r="Z1204" s="373"/>
      <c r="AA1204" s="370" t="e">
        <f t="shared" ca="1" si="727"/>
        <v>#NAME?</v>
      </c>
      <c r="AB1204" s="181"/>
      <c r="AC1204" s="182"/>
      <c r="AD1204" s="182"/>
      <c r="AE1204" s="178"/>
      <c r="AF1204" s="178"/>
      <c r="AG1204" s="178"/>
      <c r="AH1204" s="178"/>
      <c r="AI1204" s="181"/>
      <c r="AJ1204" s="373"/>
      <c r="AK1204" s="171"/>
      <c r="AL1204" s="171"/>
      <c r="AM1204" s="171"/>
      <c r="AN1204" s="161"/>
      <c r="AO1204" s="193"/>
      <c r="AP1204" s="193" t="e">
        <f t="shared" ca="1" si="728"/>
        <v>#NAME?</v>
      </c>
      <c r="AQ1204" s="200"/>
      <c r="AR1204" s="204"/>
      <c r="AS1204" s="204"/>
      <c r="AT1204" s="204"/>
      <c r="AU1204" s="204"/>
      <c r="AV1204" s="204"/>
    </row>
    <row r="1205" spans="1:48" ht="12" customHeight="1">
      <c r="A1205" s="24"/>
      <c r="B1205" s="24"/>
      <c r="C1205" s="24"/>
      <c r="D1205" s="24"/>
      <c r="E1205" s="24"/>
      <c r="F1205" s="24"/>
      <c r="G1205" s="24"/>
      <c r="H1205" s="393"/>
      <c r="I1205" s="465"/>
      <c r="J1205" s="281">
        <v>4</v>
      </c>
      <c r="K1205" s="2" t="s">
        <v>417</v>
      </c>
      <c r="L1205" s="112">
        <f t="shared" ref="L1205:Z1205" si="743">L1206</f>
        <v>0</v>
      </c>
      <c r="M1205" s="112">
        <f t="shared" si="743"/>
        <v>0</v>
      </c>
      <c r="N1205" s="113">
        <f t="shared" si="743"/>
        <v>24933</v>
      </c>
      <c r="O1205" s="113">
        <f t="shared" si="743"/>
        <v>3309.1777822018712</v>
      </c>
      <c r="P1205" s="114">
        <f t="shared" si="743"/>
        <v>17400</v>
      </c>
      <c r="Q1205" s="114">
        <f t="shared" si="743"/>
        <v>16900</v>
      </c>
      <c r="R1205" s="88">
        <f t="shared" si="743"/>
        <v>16560</v>
      </c>
      <c r="S1205" s="90">
        <f t="shared" si="743"/>
        <v>0</v>
      </c>
      <c r="T1205" s="90"/>
      <c r="U1205" s="90"/>
      <c r="V1205" s="200">
        <f>V1206</f>
        <v>6000</v>
      </c>
      <c r="W1205" s="200">
        <f t="shared" si="743"/>
        <v>6000</v>
      </c>
      <c r="X1205" s="88">
        <f t="shared" si="743"/>
        <v>18000</v>
      </c>
      <c r="Y1205" s="171">
        <f t="shared" si="743"/>
        <v>18000</v>
      </c>
      <c r="Z1205" s="171">
        <f t="shared" si="743"/>
        <v>0</v>
      </c>
      <c r="AA1205" s="370" t="e">
        <f t="shared" ca="1" si="727"/>
        <v>#NAME?</v>
      </c>
      <c r="AB1205" s="171"/>
      <c r="AC1205" s="172">
        <f>AC1206</f>
        <v>4000</v>
      </c>
      <c r="AD1205" s="172">
        <f>AD1206</f>
        <v>4000</v>
      </c>
      <c r="AE1205" s="178"/>
      <c r="AF1205" s="178">
        <f>P1205/O1205*100</f>
        <v>525.81037179641442</v>
      </c>
      <c r="AG1205" s="178">
        <f>Q1205/P1205*100</f>
        <v>97.126436781609186</v>
      </c>
      <c r="AH1205" s="178">
        <f>AC1205/Q1205*100</f>
        <v>23.668639053254438</v>
      </c>
      <c r="AI1205" s="171"/>
      <c r="AJ1205" s="171">
        <v>18000</v>
      </c>
      <c r="AK1205" s="171">
        <f t="shared" si="724"/>
        <v>36.231884057971016</v>
      </c>
      <c r="AL1205" s="171">
        <f t="shared" si="725"/>
        <v>300</v>
      </c>
      <c r="AM1205" s="171">
        <f t="shared" si="725"/>
        <v>100</v>
      </c>
      <c r="AN1205" s="90"/>
      <c r="AO1205" s="193"/>
      <c r="AP1205" s="193" t="e">
        <f t="shared" ca="1" si="728"/>
        <v>#NAME?</v>
      </c>
      <c r="AQ1205" s="200">
        <f>AQ1206</f>
        <v>0</v>
      </c>
      <c r="AR1205" s="204">
        <f t="shared" si="733"/>
        <v>36.231884057971016</v>
      </c>
      <c r="AS1205" s="204">
        <f>W1205/V1205*100</f>
        <v>100</v>
      </c>
      <c r="AT1205" s="204">
        <f t="shared" si="734"/>
        <v>36.231884057971016</v>
      </c>
      <c r="AU1205" s="204">
        <f>AQ1205/W1205*100</f>
        <v>0</v>
      </c>
      <c r="AV1205" s="204">
        <f t="shared" si="735"/>
        <v>0</v>
      </c>
    </row>
    <row r="1206" spans="1:48" ht="12" customHeight="1">
      <c r="A1206" s="301"/>
      <c r="B1206" s="301"/>
      <c r="C1206" s="301"/>
      <c r="D1206" s="301"/>
      <c r="E1206" s="301"/>
      <c r="F1206" s="301"/>
      <c r="G1206" s="301"/>
      <c r="H1206" s="307"/>
      <c r="I1206" s="350"/>
      <c r="J1206" s="302">
        <v>42</v>
      </c>
      <c r="K1206" s="343" t="s">
        <v>844</v>
      </c>
      <c r="L1206" s="112">
        <f t="shared" ref="L1206:S1206" si="744">L1208+L1211</f>
        <v>0</v>
      </c>
      <c r="M1206" s="112">
        <f t="shared" si="744"/>
        <v>0</v>
      </c>
      <c r="N1206" s="113">
        <f t="shared" si="744"/>
        <v>24933</v>
      </c>
      <c r="O1206" s="113">
        <f t="shared" si="744"/>
        <v>3309.1777822018712</v>
      </c>
      <c r="P1206" s="114">
        <f t="shared" si="744"/>
        <v>17400</v>
      </c>
      <c r="Q1206" s="114">
        <f t="shared" si="744"/>
        <v>16900</v>
      </c>
      <c r="R1206" s="88">
        <f t="shared" si="744"/>
        <v>16560</v>
      </c>
      <c r="S1206" s="90">
        <f t="shared" si="744"/>
        <v>0</v>
      </c>
      <c r="T1206" s="90"/>
      <c r="U1206" s="90"/>
      <c r="V1206" s="200">
        <f>V1208+V1211</f>
        <v>6000</v>
      </c>
      <c r="W1206" s="200">
        <f>W1208+W1211</f>
        <v>6000</v>
      </c>
      <c r="X1206" s="88">
        <f>X1208+X1211</f>
        <v>18000</v>
      </c>
      <c r="Y1206" s="171">
        <f>Y1208+Y1211</f>
        <v>18000</v>
      </c>
      <c r="Z1206" s="171">
        <f>Z1208+Z1211</f>
        <v>0</v>
      </c>
      <c r="AA1206" s="370" t="e">
        <f t="shared" ca="1" si="727"/>
        <v>#NAME?</v>
      </c>
      <c r="AB1206" s="171"/>
      <c r="AC1206" s="172">
        <f>AC1208+AC1211</f>
        <v>4000</v>
      </c>
      <c r="AD1206" s="172">
        <f>AD1208+AD1211</f>
        <v>4000</v>
      </c>
      <c r="AE1206" s="178"/>
      <c r="AF1206" s="178">
        <f>P1206/O1206*100</f>
        <v>525.81037179641442</v>
      </c>
      <c r="AG1206" s="178">
        <f>Q1206/P1206*100</f>
        <v>97.126436781609186</v>
      </c>
      <c r="AH1206" s="178">
        <f>AC1206/Q1206*100</f>
        <v>23.668639053254438</v>
      </c>
      <c r="AI1206" s="171"/>
      <c r="AJ1206" s="171">
        <v>18000</v>
      </c>
      <c r="AK1206" s="171">
        <f t="shared" si="724"/>
        <v>36.231884057971016</v>
      </c>
      <c r="AL1206" s="171">
        <f t="shared" si="725"/>
        <v>300</v>
      </c>
      <c r="AM1206" s="171">
        <f t="shared" si="725"/>
        <v>100</v>
      </c>
      <c r="AN1206" s="90"/>
      <c r="AO1206" s="193"/>
      <c r="AP1206" s="193" t="e">
        <f t="shared" ca="1" si="728"/>
        <v>#NAME?</v>
      </c>
      <c r="AQ1206" s="200">
        <f>AQ1208+AQ1211</f>
        <v>0</v>
      </c>
      <c r="AR1206" s="204">
        <f t="shared" si="733"/>
        <v>36.231884057971016</v>
      </c>
      <c r="AS1206" s="204">
        <f>W1206/V1206*100</f>
        <v>100</v>
      </c>
      <c r="AT1206" s="204">
        <f t="shared" si="734"/>
        <v>36.231884057971016</v>
      </c>
      <c r="AU1206" s="204">
        <f>AQ1206/W1206*100</f>
        <v>0</v>
      </c>
      <c r="AV1206" s="204">
        <f t="shared" si="735"/>
        <v>0</v>
      </c>
    </row>
    <row r="1207" spans="1:48" ht="12" customHeight="1">
      <c r="A1207" s="42"/>
      <c r="B1207" s="42"/>
      <c r="C1207" s="42"/>
      <c r="D1207" s="42"/>
      <c r="E1207" s="42"/>
      <c r="F1207" s="42"/>
      <c r="G1207" s="42"/>
      <c r="H1207" s="308"/>
      <c r="I1207" s="14"/>
      <c r="J1207" s="2"/>
      <c r="K1207" s="84"/>
      <c r="L1207" s="85"/>
      <c r="M1207" s="85"/>
      <c r="N1207" s="86"/>
      <c r="O1207" s="86"/>
      <c r="P1207" s="87"/>
      <c r="Q1207" s="87"/>
      <c r="R1207" s="160"/>
      <c r="S1207" s="161"/>
      <c r="T1207" s="161"/>
      <c r="U1207" s="161"/>
      <c r="V1207" s="200"/>
      <c r="W1207" s="200"/>
      <c r="X1207" s="361"/>
      <c r="Y1207" s="373"/>
      <c r="Z1207" s="373"/>
      <c r="AA1207" s="370" t="e">
        <f t="shared" ca="1" si="727"/>
        <v>#NAME?</v>
      </c>
      <c r="AB1207" s="181"/>
      <c r="AC1207" s="182"/>
      <c r="AD1207" s="182"/>
      <c r="AE1207" s="178"/>
      <c r="AF1207" s="178"/>
      <c r="AG1207" s="178"/>
      <c r="AH1207" s="178"/>
      <c r="AI1207" s="181"/>
      <c r="AJ1207" s="373"/>
      <c r="AK1207" s="171"/>
      <c r="AL1207" s="171"/>
      <c r="AM1207" s="171"/>
      <c r="AN1207" s="161"/>
      <c r="AO1207" s="193"/>
      <c r="AP1207" s="193" t="e">
        <f t="shared" ca="1" si="728"/>
        <v>#NAME?</v>
      </c>
      <c r="AQ1207" s="200"/>
      <c r="AR1207" s="204"/>
      <c r="AS1207" s="204"/>
      <c r="AT1207" s="204"/>
      <c r="AU1207" s="204"/>
      <c r="AV1207" s="204"/>
    </row>
    <row r="1208" spans="1:48" ht="12" customHeight="1">
      <c r="A1208" s="473"/>
      <c r="B1208" s="473"/>
      <c r="C1208" s="473"/>
      <c r="D1208" s="473"/>
      <c r="E1208" s="473"/>
      <c r="F1208" s="473"/>
      <c r="G1208" s="473"/>
      <c r="H1208" s="304"/>
      <c r="I1208" s="464"/>
      <c r="J1208" s="303">
        <v>422</v>
      </c>
      <c r="K1208" s="19" t="s">
        <v>419</v>
      </c>
      <c r="L1208" s="112">
        <f t="shared" ref="L1208:S1208" si="745">L1209+L1210</f>
        <v>0</v>
      </c>
      <c r="M1208" s="112">
        <f t="shared" si="745"/>
        <v>0</v>
      </c>
      <c r="N1208" s="113">
        <f t="shared" si="745"/>
        <v>24933</v>
      </c>
      <c r="O1208" s="113">
        <f t="shared" si="745"/>
        <v>3309.1777822018712</v>
      </c>
      <c r="P1208" s="114">
        <f t="shared" si="745"/>
        <v>4700</v>
      </c>
      <c r="Q1208" s="114">
        <f t="shared" si="745"/>
        <v>4200</v>
      </c>
      <c r="R1208" s="88">
        <f t="shared" si="745"/>
        <v>3951</v>
      </c>
      <c r="S1208" s="90">
        <f t="shared" si="745"/>
        <v>0</v>
      </c>
      <c r="T1208" s="90"/>
      <c r="U1208" s="90"/>
      <c r="V1208" s="200">
        <f>V1209+V1210</f>
        <v>4000</v>
      </c>
      <c r="W1208" s="200">
        <f>W1209+W1210</f>
        <v>4000</v>
      </c>
      <c r="X1208" s="88">
        <f>X1209+X1210</f>
        <v>16000</v>
      </c>
      <c r="Y1208" s="171">
        <f>Y1209+Y1210</f>
        <v>16000</v>
      </c>
      <c r="Z1208" s="171">
        <f>Z1209+Z1210</f>
        <v>0</v>
      </c>
      <c r="AA1208" s="370" t="e">
        <f t="shared" ca="1" si="727"/>
        <v>#NAME?</v>
      </c>
      <c r="AB1208" s="171"/>
      <c r="AC1208" s="171">
        <f>AC1209+AC1210</f>
        <v>2000</v>
      </c>
      <c r="AD1208" s="171">
        <f>AD1209+AD1210</f>
        <v>2000</v>
      </c>
      <c r="AE1208" s="178"/>
      <c r="AF1208" s="178">
        <f>P1208/O1208*100</f>
        <v>142.02923835880159</v>
      </c>
      <c r="AG1208" s="178">
        <f>Q1208/P1208*100</f>
        <v>89.361702127659569</v>
      </c>
      <c r="AH1208" s="178">
        <f>AC1208/Q1208*100</f>
        <v>47.619047619047613</v>
      </c>
      <c r="AI1208" s="171"/>
      <c r="AJ1208" s="171">
        <v>16000</v>
      </c>
      <c r="AK1208" s="171">
        <f t="shared" si="724"/>
        <v>101.24019235636548</v>
      </c>
      <c r="AL1208" s="171">
        <f t="shared" si="725"/>
        <v>400</v>
      </c>
      <c r="AM1208" s="171">
        <f t="shared" si="725"/>
        <v>100</v>
      </c>
      <c r="AN1208" s="90"/>
      <c r="AO1208" s="193"/>
      <c r="AP1208" s="193" t="e">
        <f t="shared" ca="1" si="728"/>
        <v>#NAME?</v>
      </c>
      <c r="AQ1208" s="200">
        <f>AQ1209+AQ1210</f>
        <v>0</v>
      </c>
      <c r="AR1208" s="204">
        <f t="shared" si="733"/>
        <v>101.24019235636548</v>
      </c>
      <c r="AS1208" s="204">
        <f>W1208/V1208*100</f>
        <v>100</v>
      </c>
      <c r="AT1208" s="204">
        <f t="shared" si="734"/>
        <v>101.24019235636548</v>
      </c>
      <c r="AU1208" s="204">
        <f>AQ1208/W1208*100</f>
        <v>0</v>
      </c>
      <c r="AV1208" s="204">
        <f t="shared" si="735"/>
        <v>0</v>
      </c>
    </row>
    <row r="1209" spans="1:48" ht="12" customHeight="1">
      <c r="A1209" s="209"/>
      <c r="B1209" s="209"/>
      <c r="C1209" s="209"/>
      <c r="D1209" s="209"/>
      <c r="E1209" s="209"/>
      <c r="F1209" s="209"/>
      <c r="G1209" s="209"/>
      <c r="H1209" s="1">
        <v>235</v>
      </c>
      <c r="I1209" s="397">
        <v>820</v>
      </c>
      <c r="J1209" s="229">
        <v>4221</v>
      </c>
      <c r="K1209" s="18" t="s">
        <v>303</v>
      </c>
      <c r="L1209" s="130">
        <v>0</v>
      </c>
      <c r="M1209" s="130">
        <v>0</v>
      </c>
      <c r="N1209" s="131">
        <v>5026</v>
      </c>
      <c r="O1209" s="131">
        <f>N1209/7.5345</f>
        <v>667.06483509191048</v>
      </c>
      <c r="P1209" s="132">
        <v>0</v>
      </c>
      <c r="Q1209" s="132">
        <v>0</v>
      </c>
      <c r="R1209" s="159">
        <v>0</v>
      </c>
      <c r="S1209" s="165"/>
      <c r="T1209" s="165"/>
      <c r="U1209" s="165"/>
      <c r="V1209" s="200">
        <v>4000</v>
      </c>
      <c r="W1209" s="200">
        <v>4000</v>
      </c>
      <c r="X1209" s="164">
        <v>6000</v>
      </c>
      <c r="Y1209" s="378">
        <v>6000</v>
      </c>
      <c r="Z1209" s="378"/>
      <c r="AA1209" s="370" t="e">
        <f t="shared" ca="1" si="727"/>
        <v>#NAME?</v>
      </c>
      <c r="AB1209" s="183"/>
      <c r="AC1209" s="178">
        <v>2000</v>
      </c>
      <c r="AD1209" s="178">
        <v>2000</v>
      </c>
      <c r="AE1209" s="178"/>
      <c r="AF1209" s="178">
        <f>P1209/O1209*100</f>
        <v>0</v>
      </c>
      <c r="AG1209" s="178"/>
      <c r="AH1209" s="178"/>
      <c r="AI1209" s="183"/>
      <c r="AJ1209" s="378">
        <v>6000</v>
      </c>
      <c r="AK1209" s="171"/>
      <c r="AL1209" s="171">
        <f t="shared" si="725"/>
        <v>150</v>
      </c>
      <c r="AM1209" s="171">
        <f t="shared" si="725"/>
        <v>100</v>
      </c>
      <c r="AN1209" s="165"/>
      <c r="AO1209" s="193"/>
      <c r="AP1209" s="193" t="e">
        <f t="shared" ca="1" si="728"/>
        <v>#NAME?</v>
      </c>
      <c r="AQ1209" s="200"/>
      <c r="AR1209" s="204"/>
      <c r="AS1209" s="204">
        <f>W1209/V1209*100</f>
        <v>100</v>
      </c>
      <c r="AT1209" s="204"/>
      <c r="AU1209" s="204">
        <f>AQ1209/W1209*100</f>
        <v>0</v>
      </c>
      <c r="AV1209" s="204"/>
    </row>
    <row r="1210" spans="1:48" ht="12" customHeight="1">
      <c r="A1210" s="583"/>
      <c r="B1210" s="583"/>
      <c r="C1210" s="583"/>
      <c r="D1210" s="583"/>
      <c r="E1210" s="583"/>
      <c r="F1210" s="583"/>
      <c r="G1210" s="583"/>
      <c r="H1210" s="584" t="s">
        <v>884</v>
      </c>
      <c r="I1210" s="586">
        <v>820</v>
      </c>
      <c r="J1210" s="587">
        <v>4227</v>
      </c>
      <c r="K1210" s="588" t="s">
        <v>885</v>
      </c>
      <c r="L1210" s="130">
        <v>0</v>
      </c>
      <c r="M1210" s="130">
        <v>0</v>
      </c>
      <c r="N1210" s="131">
        <v>19907</v>
      </c>
      <c r="O1210" s="131">
        <f>N1210/7.5345</f>
        <v>2642.1129471099607</v>
      </c>
      <c r="P1210" s="132">
        <v>4700</v>
      </c>
      <c r="Q1210" s="163">
        <v>4200</v>
      </c>
      <c r="R1210" s="159">
        <v>3951</v>
      </c>
      <c r="S1210" s="165"/>
      <c r="T1210" s="165"/>
      <c r="U1210" s="165"/>
      <c r="V1210" s="200">
        <v>0</v>
      </c>
      <c r="W1210" s="200">
        <v>0</v>
      </c>
      <c r="X1210" s="164">
        <v>10000</v>
      </c>
      <c r="Y1210" s="378">
        <v>10000</v>
      </c>
      <c r="Z1210" s="378"/>
      <c r="AA1210" s="370" t="e">
        <f t="shared" ca="1" si="727"/>
        <v>#NAME?</v>
      </c>
      <c r="AB1210" s="183"/>
      <c r="AC1210" s="172"/>
      <c r="AD1210" s="172"/>
      <c r="AE1210" s="178"/>
      <c r="AF1210" s="178"/>
      <c r="AG1210" s="178"/>
      <c r="AH1210" s="178"/>
      <c r="AI1210" s="183"/>
      <c r="AJ1210" s="378">
        <v>10000</v>
      </c>
      <c r="AK1210" s="171">
        <f t="shared" si="724"/>
        <v>0</v>
      </c>
      <c r="AL1210" s="171"/>
      <c r="AM1210" s="171">
        <f t="shared" si="725"/>
        <v>100</v>
      </c>
      <c r="AN1210" s="165"/>
      <c r="AO1210" s="193"/>
      <c r="AP1210" s="193" t="e">
        <f t="shared" ca="1" si="728"/>
        <v>#NAME?</v>
      </c>
      <c r="AQ1210" s="200"/>
      <c r="AR1210" s="204">
        <f t="shared" si="733"/>
        <v>0</v>
      </c>
      <c r="AS1210" s="204"/>
      <c r="AT1210" s="204">
        <f t="shared" si="734"/>
        <v>0</v>
      </c>
      <c r="AU1210" s="204"/>
      <c r="AV1210" s="204">
        <f t="shared" si="735"/>
        <v>0</v>
      </c>
    </row>
    <row r="1211" spans="1:48" ht="12" customHeight="1">
      <c r="A1211" s="473"/>
      <c r="B1211" s="473"/>
      <c r="C1211" s="473"/>
      <c r="D1211" s="473"/>
      <c r="E1211" s="473"/>
      <c r="F1211" s="473"/>
      <c r="G1211" s="473"/>
      <c r="H1211" s="304"/>
      <c r="I1211" s="464"/>
      <c r="J1211" s="303">
        <v>426</v>
      </c>
      <c r="K1211" s="19" t="s">
        <v>886</v>
      </c>
      <c r="L1211" s="112">
        <f t="shared" ref="L1211:Z1211" si="746">L1212</f>
        <v>0</v>
      </c>
      <c r="M1211" s="112">
        <f t="shared" si="746"/>
        <v>0</v>
      </c>
      <c r="N1211" s="113">
        <f t="shared" si="746"/>
        <v>0</v>
      </c>
      <c r="O1211" s="113">
        <f t="shared" si="746"/>
        <v>0</v>
      </c>
      <c r="P1211" s="114">
        <f t="shared" si="746"/>
        <v>12700</v>
      </c>
      <c r="Q1211" s="114">
        <f t="shared" si="746"/>
        <v>12700</v>
      </c>
      <c r="R1211" s="88">
        <f t="shared" si="746"/>
        <v>12609</v>
      </c>
      <c r="S1211" s="90">
        <f t="shared" si="746"/>
        <v>0</v>
      </c>
      <c r="T1211" s="90"/>
      <c r="U1211" s="90"/>
      <c r="V1211" s="200">
        <f>V1212</f>
        <v>2000</v>
      </c>
      <c r="W1211" s="200">
        <f t="shared" si="746"/>
        <v>2000</v>
      </c>
      <c r="X1211" s="88">
        <f t="shared" si="746"/>
        <v>2000</v>
      </c>
      <c r="Y1211" s="171">
        <f t="shared" si="746"/>
        <v>2000</v>
      </c>
      <c r="Z1211" s="171">
        <f t="shared" si="746"/>
        <v>0</v>
      </c>
      <c r="AA1211" s="370" t="e">
        <f t="shared" ca="1" si="727"/>
        <v>#NAME?</v>
      </c>
      <c r="AB1211" s="171"/>
      <c r="AC1211" s="172">
        <f>AC1212</f>
        <v>2000</v>
      </c>
      <c r="AD1211" s="172">
        <f>AD1212</f>
        <v>2000</v>
      </c>
      <c r="AE1211" s="178"/>
      <c r="AF1211" s="178"/>
      <c r="AG1211" s="178"/>
      <c r="AH1211" s="178"/>
      <c r="AI1211" s="171"/>
      <c r="AJ1211" s="171">
        <v>2000</v>
      </c>
      <c r="AK1211" s="171">
        <f t="shared" si="724"/>
        <v>15.861686097232136</v>
      </c>
      <c r="AL1211" s="171">
        <f t="shared" si="725"/>
        <v>100</v>
      </c>
      <c r="AM1211" s="171">
        <f t="shared" si="725"/>
        <v>100</v>
      </c>
      <c r="AN1211" s="90"/>
      <c r="AO1211" s="193"/>
      <c r="AP1211" s="193" t="e">
        <f t="shared" ca="1" si="728"/>
        <v>#NAME?</v>
      </c>
      <c r="AQ1211" s="200">
        <f>AQ1212</f>
        <v>0</v>
      </c>
      <c r="AR1211" s="204">
        <f t="shared" si="733"/>
        <v>15.861686097232136</v>
      </c>
      <c r="AS1211" s="204">
        <f>W1211/V1211*100</f>
        <v>100</v>
      </c>
      <c r="AT1211" s="204">
        <f t="shared" si="734"/>
        <v>15.861686097232136</v>
      </c>
      <c r="AU1211" s="204">
        <f>AQ1211/W1211*100</f>
        <v>0</v>
      </c>
      <c r="AV1211" s="204">
        <f t="shared" si="735"/>
        <v>0</v>
      </c>
    </row>
    <row r="1212" spans="1:48" ht="12" customHeight="1">
      <c r="A1212" s="209"/>
      <c r="B1212" s="209"/>
      <c r="C1212" s="209"/>
      <c r="D1212" s="209"/>
      <c r="E1212" s="209"/>
      <c r="F1212" s="209"/>
      <c r="G1212" s="209"/>
      <c r="H1212" s="1">
        <v>236</v>
      </c>
      <c r="I1212" s="397">
        <v>820</v>
      </c>
      <c r="J1212" s="229">
        <v>4262</v>
      </c>
      <c r="K1212" s="18" t="s">
        <v>887</v>
      </c>
      <c r="L1212" s="130">
        <v>0</v>
      </c>
      <c r="M1212" s="130">
        <v>0</v>
      </c>
      <c r="N1212" s="131">
        <v>0</v>
      </c>
      <c r="O1212" s="131">
        <v>0</v>
      </c>
      <c r="P1212" s="132">
        <v>12700</v>
      </c>
      <c r="Q1212" s="132">
        <v>12700</v>
      </c>
      <c r="R1212" s="159">
        <v>12609</v>
      </c>
      <c r="S1212" s="165"/>
      <c r="T1212" s="165"/>
      <c r="U1212" s="165"/>
      <c r="V1212" s="200">
        <v>2000</v>
      </c>
      <c r="W1212" s="200">
        <v>2000</v>
      </c>
      <c r="X1212" s="164">
        <v>2000</v>
      </c>
      <c r="Y1212" s="378">
        <v>2000</v>
      </c>
      <c r="Z1212" s="378"/>
      <c r="AA1212" s="370" t="e">
        <f t="shared" ca="1" si="727"/>
        <v>#NAME?</v>
      </c>
      <c r="AB1212" s="183"/>
      <c r="AC1212" s="178">
        <v>2000</v>
      </c>
      <c r="AD1212" s="178">
        <v>2000</v>
      </c>
      <c r="AE1212" s="178"/>
      <c r="AF1212" s="178"/>
      <c r="AG1212" s="178"/>
      <c r="AH1212" s="178"/>
      <c r="AI1212" s="183"/>
      <c r="AJ1212" s="378">
        <v>2000</v>
      </c>
      <c r="AK1212" s="171">
        <f t="shared" si="724"/>
        <v>15.861686097232136</v>
      </c>
      <c r="AL1212" s="171">
        <f t="shared" si="725"/>
        <v>100</v>
      </c>
      <c r="AM1212" s="171">
        <f t="shared" si="725"/>
        <v>100</v>
      </c>
      <c r="AN1212" s="165"/>
      <c r="AO1212" s="193"/>
      <c r="AP1212" s="193" t="e">
        <f t="shared" ca="1" si="728"/>
        <v>#NAME?</v>
      </c>
      <c r="AQ1212" s="200"/>
      <c r="AR1212" s="204">
        <f t="shared" si="733"/>
        <v>15.861686097232136</v>
      </c>
      <c r="AS1212" s="204">
        <f>W1212/V1212*100</f>
        <v>100</v>
      </c>
      <c r="AT1212" s="204">
        <f t="shared" si="734"/>
        <v>15.861686097232136</v>
      </c>
      <c r="AU1212" s="204">
        <f>AQ1212/W1212*100</f>
        <v>0</v>
      </c>
      <c r="AV1212" s="204">
        <f t="shared" si="735"/>
        <v>0</v>
      </c>
    </row>
    <row r="1213" spans="1:48" ht="12" customHeight="1">
      <c r="A1213" s="209"/>
      <c r="B1213" s="209"/>
      <c r="C1213" s="209"/>
      <c r="D1213" s="209"/>
      <c r="E1213" s="209"/>
      <c r="F1213" s="209"/>
      <c r="G1213" s="209"/>
      <c r="H1213" s="1"/>
      <c r="I1213" s="397"/>
      <c r="J1213" s="229"/>
      <c r="K1213" s="18"/>
      <c r="L1213" s="130"/>
      <c r="M1213" s="130"/>
      <c r="N1213" s="131"/>
      <c r="O1213" s="131"/>
      <c r="P1213" s="132"/>
      <c r="Q1213" s="132"/>
      <c r="R1213" s="159"/>
      <c r="S1213" s="165"/>
      <c r="T1213" s="165"/>
      <c r="U1213" s="165"/>
      <c r="V1213" s="200"/>
      <c r="W1213" s="200"/>
      <c r="X1213" s="164"/>
      <c r="Y1213" s="378"/>
      <c r="Z1213" s="378"/>
      <c r="AA1213" s="370" t="e">
        <f t="shared" ca="1" si="727"/>
        <v>#NAME?</v>
      </c>
      <c r="AB1213" s="183"/>
      <c r="AC1213" s="178"/>
      <c r="AD1213" s="178"/>
      <c r="AE1213" s="178"/>
      <c r="AF1213" s="178"/>
      <c r="AG1213" s="178"/>
      <c r="AH1213" s="178"/>
      <c r="AI1213" s="183"/>
      <c r="AJ1213" s="378"/>
      <c r="AK1213" s="171"/>
      <c r="AL1213" s="171"/>
      <c r="AM1213" s="171"/>
      <c r="AN1213" s="165"/>
      <c r="AO1213" s="193"/>
      <c r="AP1213" s="193" t="e">
        <f t="shared" ca="1" si="728"/>
        <v>#NAME?</v>
      </c>
      <c r="AQ1213" s="200"/>
      <c r="AR1213" s="204"/>
      <c r="AS1213" s="204"/>
      <c r="AT1213" s="204"/>
      <c r="AU1213" s="204"/>
      <c r="AV1213" s="204"/>
    </row>
    <row r="1214" spans="1:48" ht="12" customHeight="1">
      <c r="A1214" s="390" t="s">
        <v>888</v>
      </c>
      <c r="B1214" s="391"/>
      <c r="C1214" s="391"/>
      <c r="D1214" s="391"/>
      <c r="E1214" s="391"/>
      <c r="F1214" s="391"/>
      <c r="G1214" s="391"/>
      <c r="H1214" s="392"/>
      <c r="I1214" s="485" t="s">
        <v>889</v>
      </c>
      <c r="J1214" s="486"/>
      <c r="K1214" s="300"/>
      <c r="L1214" s="112">
        <f t="shared" ref="L1214:S1214" si="747">L1216</f>
        <v>2476635</v>
      </c>
      <c r="M1214" s="112">
        <f t="shared" si="747"/>
        <v>328705.95261795737</v>
      </c>
      <c r="N1214" s="113">
        <f t="shared" si="747"/>
        <v>622963</v>
      </c>
      <c r="O1214" s="113">
        <f t="shared" si="747"/>
        <v>82681.398898400686</v>
      </c>
      <c r="P1214" s="114">
        <f t="shared" si="747"/>
        <v>0</v>
      </c>
      <c r="Q1214" s="114">
        <f t="shared" si="747"/>
        <v>23360</v>
      </c>
      <c r="R1214" s="88">
        <f t="shared" si="747"/>
        <v>25870</v>
      </c>
      <c r="S1214" s="90">
        <f t="shared" si="747"/>
        <v>0</v>
      </c>
      <c r="T1214" s="90"/>
      <c r="U1214" s="90"/>
      <c r="V1214" s="200">
        <f>V1216</f>
        <v>0</v>
      </c>
      <c r="W1214" s="200">
        <f>W1216</f>
        <v>0</v>
      </c>
      <c r="X1214" s="88">
        <f>X1216</f>
        <v>150000</v>
      </c>
      <c r="Y1214" s="171">
        <f>Y1216</f>
        <v>100000</v>
      </c>
      <c r="Z1214" s="171">
        <f>Z1216</f>
        <v>0</v>
      </c>
      <c r="AA1214" s="370" t="e">
        <f t="shared" ca="1" si="727"/>
        <v>#NAME?</v>
      </c>
      <c r="AB1214" s="171"/>
      <c r="AC1214" s="172">
        <f>AC1216</f>
        <v>0</v>
      </c>
      <c r="AD1214" s="172">
        <f>AD1216</f>
        <v>0</v>
      </c>
      <c r="AE1214" s="178">
        <f>O1214/M1214*100</f>
        <v>25.153605597918144</v>
      </c>
      <c r="AF1214" s="178">
        <f>P1214/O1214*100</f>
        <v>0</v>
      </c>
      <c r="AG1214" s="178"/>
      <c r="AH1214" s="178"/>
      <c r="AI1214" s="171"/>
      <c r="AJ1214" s="171">
        <v>100000</v>
      </c>
      <c r="AK1214" s="171">
        <f t="shared" si="724"/>
        <v>0</v>
      </c>
      <c r="AL1214" s="171"/>
      <c r="AM1214" s="171">
        <f t="shared" ref="AM1214:AM1221" si="748">Y1214/X1214*100</f>
        <v>66.666666666666657</v>
      </c>
      <c r="AN1214" s="90"/>
      <c r="AO1214" s="193"/>
      <c r="AP1214" s="193" t="e">
        <f t="shared" ca="1" si="728"/>
        <v>#NAME?</v>
      </c>
      <c r="AQ1214" s="200">
        <f>AQ1216</f>
        <v>0</v>
      </c>
      <c r="AR1214" s="204">
        <f t="shared" si="733"/>
        <v>0</v>
      </c>
      <c r="AS1214" s="204"/>
      <c r="AT1214" s="204">
        <f t="shared" si="734"/>
        <v>0</v>
      </c>
      <c r="AU1214" s="204"/>
      <c r="AV1214" s="204">
        <f t="shared" si="735"/>
        <v>0</v>
      </c>
    </row>
    <row r="1215" spans="1:48" ht="12" customHeight="1">
      <c r="A1215" s="69"/>
      <c r="B1215" s="69"/>
      <c r="C1215" s="69"/>
      <c r="D1215" s="69"/>
      <c r="E1215" s="69"/>
      <c r="F1215" s="69"/>
      <c r="G1215" s="69"/>
      <c r="H1215" s="585"/>
      <c r="I1215" s="341"/>
      <c r="J1215" s="281"/>
      <c r="K1215" s="70"/>
      <c r="L1215" s="217"/>
      <c r="M1215" s="217"/>
      <c r="N1215" s="218"/>
      <c r="O1215" s="218"/>
      <c r="P1215" s="219"/>
      <c r="Q1215" s="219"/>
      <c r="R1215" s="282"/>
      <c r="S1215" s="222"/>
      <c r="T1215" s="222"/>
      <c r="U1215" s="222"/>
      <c r="V1215" s="200"/>
      <c r="W1215" s="200"/>
      <c r="X1215" s="167"/>
      <c r="Y1215" s="424"/>
      <c r="Z1215" s="424"/>
      <c r="AA1215" s="370" t="e">
        <f t="shared" ca="1" si="727"/>
        <v>#NAME?</v>
      </c>
      <c r="AB1215" s="223"/>
      <c r="AC1215" s="224"/>
      <c r="AD1215" s="224"/>
      <c r="AE1215" s="178"/>
      <c r="AF1215" s="178"/>
      <c r="AG1215" s="178"/>
      <c r="AH1215" s="178"/>
      <c r="AI1215" s="223"/>
      <c r="AJ1215" s="424"/>
      <c r="AK1215" s="171"/>
      <c r="AL1215" s="171"/>
      <c r="AM1215" s="171"/>
      <c r="AN1215" s="222"/>
      <c r="AO1215" s="193"/>
      <c r="AP1215" s="193" t="e">
        <f t="shared" ca="1" si="728"/>
        <v>#NAME?</v>
      </c>
      <c r="AQ1215" s="200"/>
      <c r="AR1215" s="204"/>
      <c r="AS1215" s="204"/>
      <c r="AT1215" s="204"/>
      <c r="AU1215" s="204"/>
      <c r="AV1215" s="204"/>
    </row>
    <row r="1216" spans="1:48" ht="12" customHeight="1">
      <c r="A1216" s="24"/>
      <c r="B1216" s="24"/>
      <c r="C1216" s="24"/>
      <c r="D1216" s="24"/>
      <c r="E1216" s="24"/>
      <c r="F1216" s="24"/>
      <c r="G1216" s="24"/>
      <c r="H1216" s="393"/>
      <c r="I1216" s="465"/>
      <c r="J1216" s="281">
        <v>4</v>
      </c>
      <c r="K1216" s="2" t="s">
        <v>417</v>
      </c>
      <c r="L1216" s="112">
        <f t="shared" ref="L1216:Z1216" si="749">L1217</f>
        <v>2476635</v>
      </c>
      <c r="M1216" s="112">
        <f t="shared" si="749"/>
        <v>328705.95261795737</v>
      </c>
      <c r="N1216" s="113">
        <f t="shared" si="749"/>
        <v>622963</v>
      </c>
      <c r="O1216" s="113">
        <f t="shared" si="749"/>
        <v>82681.398898400686</v>
      </c>
      <c r="P1216" s="114">
        <f t="shared" si="749"/>
        <v>0</v>
      </c>
      <c r="Q1216" s="114">
        <f t="shared" si="749"/>
        <v>23360</v>
      </c>
      <c r="R1216" s="88">
        <f t="shared" si="749"/>
        <v>25870</v>
      </c>
      <c r="S1216" s="90">
        <f t="shared" si="749"/>
        <v>0</v>
      </c>
      <c r="T1216" s="90"/>
      <c r="U1216" s="90"/>
      <c r="V1216" s="200">
        <f>V1217</f>
        <v>0</v>
      </c>
      <c r="W1216" s="200">
        <f t="shared" si="749"/>
        <v>0</v>
      </c>
      <c r="X1216" s="88">
        <f t="shared" si="749"/>
        <v>150000</v>
      </c>
      <c r="Y1216" s="171">
        <f t="shared" si="749"/>
        <v>100000</v>
      </c>
      <c r="Z1216" s="171">
        <f t="shared" si="749"/>
        <v>0</v>
      </c>
      <c r="AA1216" s="370" t="e">
        <f t="shared" ca="1" si="727"/>
        <v>#NAME?</v>
      </c>
      <c r="AB1216" s="171"/>
      <c r="AC1216" s="172">
        <f t="shared" ref="AC1216:AD1218" si="750">AC1217</f>
        <v>0</v>
      </c>
      <c r="AD1216" s="172">
        <f t="shared" si="750"/>
        <v>0</v>
      </c>
      <c r="AE1216" s="178">
        <f>O1216/M1216*100</f>
        <v>25.153605597918144</v>
      </c>
      <c r="AF1216" s="178">
        <f>P1216/O1216*100</f>
        <v>0</v>
      </c>
      <c r="AG1216" s="178"/>
      <c r="AH1216" s="178"/>
      <c r="AI1216" s="171"/>
      <c r="AJ1216" s="171">
        <v>100000</v>
      </c>
      <c r="AK1216" s="171">
        <f t="shared" si="724"/>
        <v>0</v>
      </c>
      <c r="AL1216" s="171"/>
      <c r="AM1216" s="171">
        <f t="shared" si="748"/>
        <v>66.666666666666657</v>
      </c>
      <c r="AN1216" s="90"/>
      <c r="AO1216" s="193"/>
      <c r="AP1216" s="193" t="e">
        <f t="shared" ca="1" si="728"/>
        <v>#NAME?</v>
      </c>
      <c r="AQ1216" s="200">
        <f>AQ1217</f>
        <v>0</v>
      </c>
      <c r="AR1216" s="204">
        <f t="shared" si="733"/>
        <v>0</v>
      </c>
      <c r="AS1216" s="204"/>
      <c r="AT1216" s="204">
        <f t="shared" si="734"/>
        <v>0</v>
      </c>
      <c r="AU1216" s="204"/>
      <c r="AV1216" s="204">
        <f t="shared" si="735"/>
        <v>0</v>
      </c>
    </row>
    <row r="1217" spans="1:48" ht="12" customHeight="1">
      <c r="A1217" s="301"/>
      <c r="B1217" s="301"/>
      <c r="C1217" s="301"/>
      <c r="D1217" s="301"/>
      <c r="E1217" s="301"/>
      <c r="F1217" s="301"/>
      <c r="G1217" s="301"/>
      <c r="H1217" s="307"/>
      <c r="I1217" s="350"/>
      <c r="J1217" s="302">
        <v>45</v>
      </c>
      <c r="K1217" s="343" t="s">
        <v>890</v>
      </c>
      <c r="L1217" s="112">
        <f t="shared" ref="L1217:Q1217" si="751">L1218+L1222</f>
        <v>2476635</v>
      </c>
      <c r="M1217" s="112">
        <f t="shared" si="751"/>
        <v>328705.95261795737</v>
      </c>
      <c r="N1217" s="113">
        <f t="shared" si="751"/>
        <v>622963</v>
      </c>
      <c r="O1217" s="113">
        <f t="shared" si="751"/>
        <v>82681.398898400686</v>
      </c>
      <c r="P1217" s="114">
        <f t="shared" si="751"/>
        <v>0</v>
      </c>
      <c r="Q1217" s="114">
        <f t="shared" si="751"/>
        <v>23360</v>
      </c>
      <c r="R1217" s="88">
        <f t="shared" ref="R1217:W1217" si="752">R1218+R1221</f>
        <v>25870</v>
      </c>
      <c r="S1217" s="90">
        <f t="shared" si="752"/>
        <v>0</v>
      </c>
      <c r="T1217" s="90"/>
      <c r="U1217" s="90"/>
      <c r="V1217" s="200">
        <f t="shared" si="752"/>
        <v>0</v>
      </c>
      <c r="W1217" s="200">
        <f t="shared" si="752"/>
        <v>0</v>
      </c>
      <c r="X1217" s="88">
        <f>X1218</f>
        <v>150000</v>
      </c>
      <c r="Y1217" s="171">
        <f>Y1218+Y1221</f>
        <v>100000</v>
      </c>
      <c r="Z1217" s="171">
        <f>Z1218+Z1221</f>
        <v>0</v>
      </c>
      <c r="AA1217" s="370" t="e">
        <f t="shared" ca="1" si="727"/>
        <v>#NAME?</v>
      </c>
      <c r="AB1217" s="171"/>
      <c r="AC1217" s="172">
        <f t="shared" si="750"/>
        <v>0</v>
      </c>
      <c r="AD1217" s="172">
        <f t="shared" si="750"/>
        <v>0</v>
      </c>
      <c r="AE1217" s="178">
        <f>O1217/M1217*100</f>
        <v>25.153605597918144</v>
      </c>
      <c r="AF1217" s="178">
        <f>P1217/O1217*100</f>
        <v>0</v>
      </c>
      <c r="AG1217" s="178"/>
      <c r="AH1217" s="178"/>
      <c r="AI1217" s="171"/>
      <c r="AJ1217" s="171">
        <v>100000</v>
      </c>
      <c r="AK1217" s="171">
        <f t="shared" si="724"/>
        <v>0</v>
      </c>
      <c r="AL1217" s="171"/>
      <c r="AM1217" s="171">
        <f t="shared" si="748"/>
        <v>66.666666666666657</v>
      </c>
      <c r="AN1217" s="90"/>
      <c r="AO1217" s="193"/>
      <c r="AP1217" s="193" t="e">
        <f t="shared" ca="1" si="728"/>
        <v>#NAME?</v>
      </c>
      <c r="AQ1217" s="200">
        <f>AQ1218</f>
        <v>0</v>
      </c>
      <c r="AR1217" s="204">
        <f t="shared" si="733"/>
        <v>0</v>
      </c>
      <c r="AS1217" s="204"/>
      <c r="AT1217" s="204">
        <f t="shared" si="734"/>
        <v>0</v>
      </c>
      <c r="AU1217" s="204"/>
      <c r="AV1217" s="204">
        <f t="shared" si="735"/>
        <v>0</v>
      </c>
    </row>
    <row r="1218" spans="1:48" ht="12" customHeight="1">
      <c r="A1218" s="473"/>
      <c r="B1218" s="473"/>
      <c r="C1218" s="473"/>
      <c r="D1218" s="473"/>
      <c r="E1218" s="473"/>
      <c r="F1218" s="473"/>
      <c r="G1218" s="473"/>
      <c r="H1218" s="304"/>
      <c r="I1218" s="464"/>
      <c r="J1218" s="303">
        <v>451</v>
      </c>
      <c r="K1218" s="19" t="s">
        <v>891</v>
      </c>
      <c r="L1218" s="112">
        <f t="shared" ref="L1218:Z1218" si="753">L1219</f>
        <v>2476635</v>
      </c>
      <c r="M1218" s="112">
        <f t="shared" si="753"/>
        <v>328705.95261795737</v>
      </c>
      <c r="N1218" s="113">
        <f t="shared" si="753"/>
        <v>622963</v>
      </c>
      <c r="O1218" s="113">
        <f t="shared" si="753"/>
        <v>82681.398898400686</v>
      </c>
      <c r="P1218" s="114">
        <f t="shared" si="753"/>
        <v>0</v>
      </c>
      <c r="Q1218" s="114">
        <f t="shared" si="753"/>
        <v>23360</v>
      </c>
      <c r="R1218" s="88">
        <f t="shared" si="753"/>
        <v>25870</v>
      </c>
      <c r="S1218" s="90">
        <f t="shared" si="753"/>
        <v>0</v>
      </c>
      <c r="T1218" s="90"/>
      <c r="U1218" s="90"/>
      <c r="V1218" s="200">
        <f>V1219</f>
        <v>0</v>
      </c>
      <c r="W1218" s="200">
        <f t="shared" si="753"/>
        <v>0</v>
      </c>
      <c r="X1218" s="88">
        <f>X1219+X1220+X1221</f>
        <v>150000</v>
      </c>
      <c r="Y1218" s="171">
        <f t="shared" si="753"/>
        <v>50000</v>
      </c>
      <c r="Z1218" s="171">
        <f t="shared" si="753"/>
        <v>0</v>
      </c>
      <c r="AA1218" s="370" t="e">
        <f t="shared" ca="1" si="727"/>
        <v>#NAME?</v>
      </c>
      <c r="AB1218" s="171"/>
      <c r="AC1218" s="172">
        <f t="shared" si="750"/>
        <v>0</v>
      </c>
      <c r="AD1218" s="172">
        <f t="shared" si="750"/>
        <v>0</v>
      </c>
      <c r="AE1218" s="178">
        <f>O1218/M1218*100</f>
        <v>25.153605597918144</v>
      </c>
      <c r="AF1218" s="178">
        <f>P1218/O1218*100</f>
        <v>0</v>
      </c>
      <c r="AG1218" s="178"/>
      <c r="AH1218" s="178"/>
      <c r="AI1218" s="171"/>
      <c r="AJ1218" s="171">
        <v>50000</v>
      </c>
      <c r="AK1218" s="171">
        <f t="shared" si="724"/>
        <v>0</v>
      </c>
      <c r="AL1218" s="171"/>
      <c r="AM1218" s="171">
        <f t="shared" si="748"/>
        <v>33.333333333333329</v>
      </c>
      <c r="AN1218" s="90"/>
      <c r="AO1218" s="193"/>
      <c r="AP1218" s="193" t="e">
        <f t="shared" ca="1" si="728"/>
        <v>#NAME?</v>
      </c>
      <c r="AQ1218" s="200">
        <f>AQ1219+AQ1220+AQ1221</f>
        <v>0</v>
      </c>
      <c r="AR1218" s="204">
        <f t="shared" si="733"/>
        <v>0</v>
      </c>
      <c r="AS1218" s="204"/>
      <c r="AT1218" s="204">
        <f t="shared" si="734"/>
        <v>0</v>
      </c>
      <c r="AU1218" s="204"/>
      <c r="AV1218" s="204">
        <f t="shared" si="735"/>
        <v>0</v>
      </c>
    </row>
    <row r="1219" spans="1:48" ht="12" customHeight="1">
      <c r="A1219" s="209"/>
      <c r="B1219" s="209"/>
      <c r="C1219" s="209"/>
      <c r="D1219" s="209"/>
      <c r="E1219" s="209"/>
      <c r="F1219" s="209"/>
      <c r="G1219" s="209"/>
      <c r="H1219" s="309">
        <v>240</v>
      </c>
      <c r="I1219" s="543">
        <v>820</v>
      </c>
      <c r="J1219" s="352">
        <v>4511</v>
      </c>
      <c r="K1219" s="353" t="s">
        <v>892</v>
      </c>
      <c r="L1219" s="354">
        <v>2476635</v>
      </c>
      <c r="M1219" s="354">
        <f>2476635/7.5345</f>
        <v>328705.95261795737</v>
      </c>
      <c r="N1219" s="355">
        <v>622963</v>
      </c>
      <c r="O1219" s="355">
        <f>N1219/7.5345</f>
        <v>82681.398898400686</v>
      </c>
      <c r="P1219" s="356">
        <v>0</v>
      </c>
      <c r="Q1219" s="356">
        <v>23360</v>
      </c>
      <c r="R1219" s="363">
        <v>25870</v>
      </c>
      <c r="S1219" s="364"/>
      <c r="T1219" s="364"/>
      <c r="U1219" s="364"/>
      <c r="V1219" s="200">
        <v>0</v>
      </c>
      <c r="W1219" s="200">
        <v>0</v>
      </c>
      <c r="X1219" s="365">
        <v>25000</v>
      </c>
      <c r="Y1219" s="382">
        <v>50000</v>
      </c>
      <c r="Z1219" s="382"/>
      <c r="AA1219" s="547" t="e">
        <f t="shared" ca="1" si="727"/>
        <v>#NAME?</v>
      </c>
      <c r="AB1219" s="383"/>
      <c r="AC1219" s="178">
        <v>0</v>
      </c>
      <c r="AD1219" s="178">
        <v>0</v>
      </c>
      <c r="AE1219" s="178">
        <f>O1219/M1219*100</f>
        <v>25.153605597918144</v>
      </c>
      <c r="AF1219" s="178">
        <f>P1219/O1219*100</f>
        <v>0</v>
      </c>
      <c r="AG1219" s="178"/>
      <c r="AH1219" s="178"/>
      <c r="AI1219" s="383"/>
      <c r="AJ1219" s="382">
        <v>50000</v>
      </c>
      <c r="AK1219" s="171">
        <f t="shared" si="724"/>
        <v>0</v>
      </c>
      <c r="AL1219" s="171"/>
      <c r="AM1219" s="171">
        <f t="shared" si="748"/>
        <v>200</v>
      </c>
      <c r="AN1219" s="364"/>
      <c r="AO1219" s="193"/>
      <c r="AP1219" s="193" t="e">
        <f t="shared" ca="1" si="728"/>
        <v>#NAME?</v>
      </c>
      <c r="AQ1219" s="200"/>
      <c r="AR1219" s="204">
        <f t="shared" si="733"/>
        <v>0</v>
      </c>
      <c r="AS1219" s="204"/>
      <c r="AT1219" s="204">
        <f t="shared" si="734"/>
        <v>0</v>
      </c>
      <c r="AU1219" s="204"/>
      <c r="AV1219" s="204">
        <f t="shared" si="735"/>
        <v>0</v>
      </c>
    </row>
    <row r="1220" spans="1:48" ht="12" customHeight="1">
      <c r="A1220" s="209"/>
      <c r="B1220" s="209"/>
      <c r="C1220" s="209"/>
      <c r="D1220" s="209"/>
      <c r="E1220" s="209"/>
      <c r="F1220" s="209"/>
      <c r="G1220" s="209"/>
      <c r="H1220" s="23"/>
      <c r="I1220" s="397">
        <v>820</v>
      </c>
      <c r="J1220" s="229">
        <v>4511</v>
      </c>
      <c r="K1220" s="229" t="s">
        <v>893</v>
      </c>
      <c r="L1220" s="163"/>
      <c r="M1220" s="163"/>
      <c r="N1220" s="163"/>
      <c r="O1220" s="163"/>
      <c r="P1220" s="163"/>
      <c r="Q1220" s="163"/>
      <c r="R1220" s="159"/>
      <c r="S1220" s="423"/>
      <c r="T1220" s="423"/>
      <c r="U1220" s="423"/>
      <c r="V1220" s="200">
        <v>0</v>
      </c>
      <c r="W1220" s="200">
        <v>0</v>
      </c>
      <c r="X1220" s="159">
        <v>100000</v>
      </c>
      <c r="Y1220" s="183">
        <v>200000</v>
      </c>
      <c r="Z1220" s="183"/>
      <c r="AA1220" s="183"/>
      <c r="AB1220" s="183"/>
      <c r="AC1220" s="604"/>
      <c r="AD1220" s="604"/>
      <c r="AE1220" s="604"/>
      <c r="AF1220" s="604"/>
      <c r="AG1220" s="604"/>
      <c r="AH1220" s="604"/>
      <c r="AI1220" s="605"/>
      <c r="AJ1220" s="183">
        <v>200000</v>
      </c>
      <c r="AK1220" s="171"/>
      <c r="AL1220" s="171"/>
      <c r="AM1220" s="171">
        <f t="shared" si="748"/>
        <v>200</v>
      </c>
      <c r="AN1220" s="606"/>
      <c r="AO1220" s="193"/>
      <c r="AP1220" s="193" t="e">
        <f t="shared" ca="1" si="728"/>
        <v>#NAME?</v>
      </c>
      <c r="AQ1220" s="200"/>
      <c r="AR1220" s="204"/>
      <c r="AS1220" s="204"/>
      <c r="AT1220" s="204"/>
      <c r="AU1220" s="204"/>
      <c r="AV1220" s="204"/>
    </row>
    <row r="1221" spans="1:48" ht="12" customHeight="1">
      <c r="A1221" s="589"/>
      <c r="B1221" s="6"/>
      <c r="C1221" s="209"/>
      <c r="D1221" s="209"/>
      <c r="E1221" s="209"/>
      <c r="F1221" s="209"/>
      <c r="G1221" s="209"/>
      <c r="H1221" s="549"/>
      <c r="I1221" s="397">
        <v>820</v>
      </c>
      <c r="J1221" s="229">
        <v>4511</v>
      </c>
      <c r="K1221" s="229" t="s">
        <v>894</v>
      </c>
      <c r="L1221" s="163"/>
      <c r="M1221" s="163"/>
      <c r="N1221" s="163"/>
      <c r="O1221" s="163"/>
      <c r="P1221" s="163"/>
      <c r="Q1221" s="163"/>
      <c r="R1221" s="159"/>
      <c r="S1221" s="423"/>
      <c r="T1221" s="423"/>
      <c r="U1221" s="423"/>
      <c r="V1221" s="200">
        <v>0</v>
      </c>
      <c r="W1221" s="200">
        <v>0</v>
      </c>
      <c r="X1221" s="159">
        <v>25000</v>
      </c>
      <c r="Y1221" s="183">
        <v>50000</v>
      </c>
      <c r="Z1221" s="183"/>
      <c r="AA1221" s="183"/>
      <c r="AB1221" s="183"/>
      <c r="AC1221" s="176" t="s">
        <v>895</v>
      </c>
      <c r="AD1221" s="176"/>
      <c r="AE1221" s="604"/>
      <c r="AF1221" s="604"/>
      <c r="AG1221" s="604"/>
      <c r="AH1221" s="604"/>
      <c r="AI1221" s="605"/>
      <c r="AJ1221" s="183">
        <v>50000</v>
      </c>
      <c r="AK1221" s="171"/>
      <c r="AL1221" s="171"/>
      <c r="AM1221" s="171">
        <f t="shared" si="748"/>
        <v>200</v>
      </c>
      <c r="AN1221" s="606"/>
      <c r="AO1221" s="193"/>
      <c r="AP1221" s="193" t="e">
        <f t="shared" ca="1" si="728"/>
        <v>#NAME?</v>
      </c>
      <c r="AQ1221" s="200"/>
      <c r="AR1221" s="204"/>
      <c r="AS1221" s="204"/>
      <c r="AT1221" s="204"/>
      <c r="AU1221" s="204"/>
      <c r="AV1221" s="204"/>
    </row>
    <row r="1222" spans="1:48" ht="12" customHeight="1">
      <c r="A1222" s="368"/>
      <c r="B1222" s="368"/>
      <c r="C1222" s="368"/>
      <c r="D1222" s="368"/>
      <c r="E1222" s="368"/>
      <c r="F1222" s="368"/>
      <c r="G1222" s="368"/>
      <c r="H1222" s="368"/>
      <c r="I1222" s="368"/>
      <c r="J1222" s="368"/>
      <c r="K1222" s="368"/>
      <c r="L1222" s="368"/>
      <c r="M1222" s="368"/>
      <c r="N1222" s="368"/>
      <c r="O1222" s="368"/>
      <c r="P1222" s="368"/>
      <c r="Q1222" s="368"/>
      <c r="R1222" s="368"/>
      <c r="S1222" s="368"/>
      <c r="T1222" s="368"/>
      <c r="U1222" s="368"/>
      <c r="V1222" s="368"/>
      <c r="W1222" s="368"/>
      <c r="X1222" s="368"/>
      <c r="Y1222" s="368"/>
      <c r="Z1222" s="368"/>
      <c r="AA1222" s="368"/>
      <c r="AB1222" s="368"/>
      <c r="AC1222" s="368"/>
      <c r="AD1222" s="368"/>
      <c r="AE1222" s="368"/>
      <c r="AF1222" s="368"/>
      <c r="AG1222" s="368"/>
      <c r="AH1222" s="368"/>
      <c r="AI1222" s="368"/>
      <c r="AJ1222" s="368"/>
      <c r="AK1222" s="368"/>
      <c r="AL1222" s="368"/>
      <c r="AM1222" s="368"/>
      <c r="AN1222" s="594"/>
      <c r="AQ1222" s="368"/>
      <c r="AR1222" s="33"/>
      <c r="AS1222" s="33"/>
      <c r="AT1222" s="33"/>
      <c r="AU1222" s="33"/>
      <c r="AV1222" s="33"/>
    </row>
    <row r="1223" spans="1:48" ht="12" customHeight="1">
      <c r="A1223" s="264"/>
      <c r="B1223" s="314"/>
      <c r="C1223" s="27"/>
      <c r="D1223" s="27"/>
      <c r="E1223" s="27"/>
      <c r="F1223" s="27"/>
      <c r="G1223" s="27"/>
      <c r="H1223" s="590"/>
      <c r="I1223" s="593"/>
      <c r="J1223" s="284"/>
      <c r="K1223" s="28"/>
      <c r="L1223" s="594"/>
      <c r="M1223" s="594"/>
      <c r="N1223" s="594"/>
      <c r="O1223" s="594"/>
      <c r="P1223" s="594"/>
      <c r="Q1223" s="601" t="s">
        <v>895</v>
      </c>
      <c r="R1223" s="601"/>
      <c r="S1223" s="602"/>
      <c r="T1223" s="602"/>
      <c r="U1223" s="602"/>
      <c r="V1223" s="368"/>
      <c r="W1223" s="368"/>
      <c r="X1223" s="368"/>
      <c r="Y1223" s="368"/>
      <c r="Z1223" s="368"/>
      <c r="AA1223" s="368"/>
      <c r="AB1223" s="368"/>
      <c r="AC1223" s="368"/>
      <c r="AD1223" s="368"/>
      <c r="AE1223" s="368"/>
      <c r="AF1223" s="368"/>
      <c r="AG1223" s="368"/>
      <c r="AH1223" s="368"/>
      <c r="AI1223" s="368"/>
      <c r="AJ1223" s="368"/>
      <c r="AK1223" s="368"/>
      <c r="AL1223" s="368"/>
      <c r="AM1223" s="368"/>
      <c r="AN1223" s="188"/>
      <c r="AQ1223" s="601"/>
      <c r="AR1223" s="33"/>
      <c r="AS1223" s="33"/>
      <c r="AT1223" s="33"/>
      <c r="AU1223" s="33"/>
      <c r="AV1223" s="33"/>
    </row>
    <row r="1224" spans="1:48" ht="12" customHeight="1">
      <c r="A1224" s="591"/>
      <c r="B1224" s="314"/>
      <c r="C1224" s="27"/>
      <c r="D1224" s="27"/>
      <c r="E1224" s="27"/>
      <c r="F1224" s="27"/>
      <c r="G1224" s="27"/>
      <c r="H1224" s="590"/>
      <c r="I1224" s="593"/>
      <c r="J1224" s="284"/>
      <c r="K1224" s="28"/>
      <c r="L1224" s="594"/>
      <c r="M1224" s="594"/>
      <c r="N1224" s="594"/>
      <c r="O1224" s="594"/>
      <c r="P1224" s="594"/>
      <c r="Q1224" s="603" t="s">
        <v>896</v>
      </c>
      <c r="R1224" s="603"/>
      <c r="S1224" s="602"/>
      <c r="T1224" s="602"/>
      <c r="U1224" s="602"/>
      <c r="V1224" s="601"/>
      <c r="W1224" s="601"/>
      <c r="X1224" s="602"/>
      <c r="Y1224" s="602"/>
      <c r="Z1224" s="368"/>
      <c r="AA1224" s="368"/>
      <c r="AB1224" s="368"/>
      <c r="AC1224" s="368"/>
      <c r="AD1224" s="368"/>
      <c r="AE1224" s="368"/>
      <c r="AF1224" s="368"/>
      <c r="AG1224" s="368"/>
      <c r="AH1224" s="368"/>
      <c r="AI1224" s="368"/>
      <c r="AJ1224" s="368"/>
      <c r="AK1224" s="368"/>
      <c r="AL1224" s="368"/>
      <c r="AM1224" s="368"/>
      <c r="AN1224" s="188"/>
      <c r="AQ1224" s="603"/>
      <c r="AR1224" s="33"/>
      <c r="AS1224" s="33"/>
      <c r="AT1224" s="33"/>
      <c r="AU1224" s="33"/>
      <c r="AV1224" s="33"/>
    </row>
    <row r="1225" spans="1:48" ht="12" customHeight="1">
      <c r="A1225" s="591"/>
      <c r="B1225" s="314"/>
      <c r="C1225" s="27"/>
      <c r="D1225" s="27"/>
      <c r="E1225" s="27"/>
      <c r="F1225" s="27"/>
      <c r="G1225" s="27"/>
      <c r="H1225" s="590"/>
      <c r="I1225" s="593"/>
      <c r="J1225" s="284"/>
      <c r="K1225" s="28"/>
      <c r="L1225" s="594"/>
      <c r="M1225" s="594"/>
      <c r="N1225" s="594"/>
      <c r="O1225" s="594"/>
      <c r="P1225" s="594"/>
      <c r="Q1225" s="603" t="s">
        <v>897</v>
      </c>
      <c r="R1225" s="603"/>
      <c r="S1225" s="602"/>
      <c r="T1225" s="602"/>
      <c r="U1225" s="602"/>
      <c r="V1225" s="603"/>
      <c r="W1225" s="603"/>
      <c r="X1225" s="602"/>
      <c r="Y1225" s="602"/>
      <c r="Z1225" s="368"/>
      <c r="AA1225" s="368"/>
      <c r="AB1225" s="368"/>
      <c r="AC1225" s="368"/>
      <c r="AD1225" s="368"/>
      <c r="AE1225" s="368"/>
      <c r="AF1225" s="368"/>
      <c r="AG1225" s="368"/>
      <c r="AH1225" s="368"/>
      <c r="AI1225" s="368"/>
      <c r="AJ1225" s="368"/>
      <c r="AK1225" s="368"/>
      <c r="AL1225" s="368"/>
      <c r="AM1225" s="368"/>
      <c r="AN1225" s="188"/>
      <c r="AQ1225" s="603"/>
      <c r="AR1225" s="33"/>
      <c r="AS1225" s="33"/>
      <c r="AT1225" s="33"/>
      <c r="AU1225" s="33"/>
      <c r="AV1225" s="33"/>
    </row>
    <row r="1226" spans="1:48" ht="12" customHeight="1">
      <c r="A1226" s="591"/>
      <c r="B1226" s="314"/>
      <c r="C1226" s="27"/>
      <c r="D1226" s="27"/>
      <c r="E1226" s="27"/>
      <c r="F1226" s="27"/>
      <c r="G1226" s="27"/>
      <c r="H1226" s="590"/>
      <c r="I1226" s="593"/>
      <c r="J1226" s="284"/>
      <c r="K1226" s="35"/>
      <c r="L1226" s="188"/>
      <c r="M1226" s="188"/>
      <c r="N1226" s="188"/>
      <c r="O1226" s="188"/>
      <c r="P1226" s="188"/>
      <c r="Q1226" s="599" t="s">
        <v>898</v>
      </c>
      <c r="S1226" s="602"/>
      <c r="T1226" s="602"/>
      <c r="U1226" s="602"/>
      <c r="V1226" s="603"/>
      <c r="W1226" s="603"/>
      <c r="X1226" s="602"/>
      <c r="Y1226" s="602"/>
      <c r="Z1226" s="368"/>
      <c r="AA1226" s="368"/>
      <c r="AB1226" s="368"/>
      <c r="AC1226" s="368"/>
      <c r="AD1226" s="368"/>
      <c r="AE1226" s="368"/>
      <c r="AF1226" s="368"/>
      <c r="AG1226" s="368"/>
      <c r="AH1226" s="368"/>
      <c r="AI1226" s="368"/>
      <c r="AJ1226" s="368"/>
      <c r="AK1226" s="368"/>
      <c r="AL1226" s="368"/>
      <c r="AM1226" s="368"/>
      <c r="AN1226" s="188"/>
      <c r="AR1226" s="33"/>
      <c r="AS1226" s="33"/>
      <c r="AT1226" s="33"/>
      <c r="AU1226" s="33"/>
      <c r="AV1226" s="33"/>
    </row>
    <row r="1227" spans="1:48" ht="12" customHeight="1">
      <c r="A1227" s="591"/>
      <c r="B1227" s="314"/>
      <c r="C1227" s="27"/>
      <c r="D1227" s="27"/>
      <c r="E1227" s="27"/>
      <c r="F1227" s="27"/>
      <c r="G1227" s="27"/>
      <c r="H1227" s="590"/>
      <c r="I1227" s="593"/>
      <c r="J1227" s="284"/>
      <c r="K1227" s="35"/>
      <c r="L1227" s="188"/>
      <c r="M1227" s="188"/>
      <c r="N1227" s="188"/>
      <c r="O1227" s="188"/>
      <c r="P1227" s="188"/>
      <c r="Q1227" s="599" t="s">
        <v>899</v>
      </c>
      <c r="S1227" s="602"/>
      <c r="T1227" s="602"/>
      <c r="U1227" s="602"/>
      <c r="X1227" s="602"/>
      <c r="Y1227" s="602"/>
      <c r="Z1227" s="368"/>
      <c r="AA1227" s="368"/>
      <c r="AB1227" s="368"/>
      <c r="AC1227" s="368"/>
      <c r="AD1227" s="368"/>
      <c r="AE1227" s="368"/>
      <c r="AF1227" s="368"/>
      <c r="AG1227" s="368"/>
      <c r="AH1227" s="368"/>
      <c r="AI1227" s="368"/>
      <c r="AJ1227" s="368"/>
      <c r="AK1227" s="368"/>
      <c r="AL1227" s="368"/>
      <c r="AM1227" s="368"/>
      <c r="AN1227" s="188"/>
      <c r="AR1227" s="33"/>
      <c r="AS1227" s="33"/>
      <c r="AT1227" s="33"/>
      <c r="AU1227" s="33"/>
      <c r="AV1227" s="33"/>
    </row>
    <row r="1228" spans="1:48" ht="12" customHeight="1">
      <c r="A1228" s="591"/>
      <c r="B1228" s="314"/>
      <c r="C1228" s="27"/>
      <c r="D1228" s="27"/>
      <c r="E1228" s="27"/>
      <c r="F1228" s="27"/>
      <c r="G1228" s="27"/>
      <c r="H1228" s="590"/>
      <c r="I1228" s="593"/>
      <c r="J1228" s="284"/>
      <c r="K1228" s="35"/>
      <c r="L1228" s="595"/>
      <c r="M1228" s="188"/>
      <c r="N1228" s="188"/>
      <c r="O1228" s="188"/>
      <c r="P1228" s="188"/>
      <c r="Q1228" s="599" t="s">
        <v>900</v>
      </c>
      <c r="S1228" s="602"/>
      <c r="T1228" s="602"/>
      <c r="U1228" s="602"/>
      <c r="X1228" s="602"/>
      <c r="Y1228" s="602"/>
      <c r="Z1228" s="368"/>
      <c r="AA1228" s="368"/>
      <c r="AB1228" s="368"/>
      <c r="AC1228" s="368"/>
      <c r="AD1228" s="368"/>
      <c r="AE1228" s="368"/>
      <c r="AF1228" s="368"/>
      <c r="AG1228" s="368"/>
      <c r="AH1228" s="368"/>
      <c r="AI1228" s="368"/>
      <c r="AJ1228" s="368"/>
      <c r="AK1228" s="368"/>
      <c r="AL1228" s="368"/>
      <c r="AM1228" s="368"/>
      <c r="AN1228" s="188"/>
      <c r="AR1228" s="33"/>
      <c r="AS1228" s="33"/>
      <c r="AT1228" s="33"/>
      <c r="AU1228" s="33"/>
      <c r="AV1228" s="33"/>
    </row>
    <row r="1229" spans="1:48" ht="12" customHeight="1">
      <c r="A1229" s="591"/>
      <c r="B1229" s="314"/>
      <c r="C1229" s="27"/>
      <c r="D1229" s="27"/>
      <c r="E1229" s="27"/>
      <c r="F1229" s="27"/>
      <c r="G1229" s="27"/>
      <c r="H1229" s="590"/>
      <c r="I1229" s="593"/>
      <c r="J1229" s="284"/>
      <c r="K1229" s="35"/>
      <c r="M1229" s="188"/>
      <c r="N1229" s="188"/>
      <c r="O1229" s="188"/>
      <c r="P1229" s="188"/>
      <c r="Q1229" s="599" t="s">
        <v>901</v>
      </c>
      <c r="S1229" s="72"/>
      <c r="T1229" s="72"/>
      <c r="U1229" s="72"/>
      <c r="X1229" s="602"/>
      <c r="Y1229" s="602"/>
      <c r="Z1229" s="368"/>
      <c r="AA1229" s="368"/>
      <c r="AB1229" s="368"/>
      <c r="AC1229" s="368"/>
      <c r="AD1229" s="368"/>
      <c r="AE1229" s="368"/>
      <c r="AF1229" s="368"/>
      <c r="AG1229" s="368"/>
      <c r="AH1229" s="368"/>
      <c r="AI1229" s="368"/>
      <c r="AJ1229" s="368"/>
      <c r="AK1229" s="368"/>
      <c r="AL1229" s="368"/>
      <c r="AM1229" s="368"/>
      <c r="AN1229" s="188"/>
      <c r="AR1229" s="33"/>
      <c r="AS1229" s="33"/>
      <c r="AT1229" s="33"/>
      <c r="AU1229" s="33"/>
      <c r="AV1229" s="33"/>
    </row>
    <row r="1230" spans="1:48" ht="12" customHeight="1">
      <c r="A1230" s="591"/>
      <c r="B1230" s="314"/>
      <c r="C1230" s="34"/>
      <c r="D1230" s="34"/>
      <c r="E1230" s="34"/>
      <c r="F1230" s="34"/>
      <c r="G1230" s="34"/>
      <c r="H1230" s="35"/>
      <c r="I1230" s="72"/>
      <c r="J1230" s="35"/>
      <c r="K1230" s="35"/>
      <c r="L1230" s="596" t="s">
        <v>902</v>
      </c>
      <c r="M1230" s="188"/>
      <c r="N1230" s="188"/>
      <c r="O1230" s="188"/>
      <c r="P1230" s="188"/>
      <c r="Q1230" s="599" t="s">
        <v>903</v>
      </c>
      <c r="S1230" s="71"/>
      <c r="T1230" s="71"/>
      <c r="U1230" s="71"/>
      <c r="X1230" s="72"/>
      <c r="Y1230" s="72"/>
      <c r="Z1230" s="368"/>
      <c r="AA1230" s="368"/>
      <c r="AB1230" s="368"/>
      <c r="AC1230" s="368"/>
      <c r="AD1230" s="368"/>
      <c r="AE1230" s="368"/>
      <c r="AF1230" s="368"/>
      <c r="AG1230" s="368"/>
      <c r="AH1230" s="368"/>
      <c r="AI1230" s="368"/>
      <c r="AJ1230" s="368"/>
      <c r="AK1230" s="368"/>
      <c r="AL1230" s="368"/>
      <c r="AM1230" s="368"/>
      <c r="AN1230" s="188"/>
      <c r="AR1230" s="33"/>
      <c r="AS1230" s="33"/>
      <c r="AT1230" s="33"/>
      <c r="AU1230" s="33"/>
      <c r="AV1230" s="33"/>
    </row>
    <row r="1231" spans="1:48" ht="12" customHeight="1">
      <c r="A1231" s="34"/>
      <c r="B1231" s="34"/>
      <c r="C1231" s="34"/>
      <c r="D1231" s="34"/>
      <c r="E1231" s="34"/>
      <c r="F1231" s="34"/>
      <c r="G1231" s="34"/>
      <c r="H1231" s="35"/>
      <c r="I1231" s="72"/>
      <c r="J1231" s="35"/>
      <c r="K1231" s="596" t="s">
        <v>902</v>
      </c>
      <c r="L1231" s="596" t="s">
        <v>904</v>
      </c>
      <c r="M1231" s="188"/>
      <c r="N1231" s="188"/>
      <c r="O1231" s="188"/>
      <c r="P1231" s="188"/>
      <c r="Q1231" s="599" t="s">
        <v>905</v>
      </c>
      <c r="S1231" s="71"/>
      <c r="T1231" s="71"/>
      <c r="U1231" s="71"/>
      <c r="X1231" s="71"/>
      <c r="Y1231" s="71"/>
      <c r="Z1231" s="368"/>
      <c r="AA1231" s="368"/>
      <c r="AB1231" s="368"/>
      <c r="AC1231" s="368"/>
      <c r="AD1231" s="368"/>
      <c r="AE1231" s="368"/>
      <c r="AF1231" s="368"/>
      <c r="AG1231" s="368"/>
      <c r="AH1231" s="368"/>
      <c r="AI1231" s="368"/>
      <c r="AJ1231" s="368"/>
      <c r="AK1231" s="368"/>
      <c r="AL1231" s="368"/>
      <c r="AM1231" s="368"/>
      <c r="AN1231" s="188"/>
      <c r="AR1231" s="33"/>
      <c r="AS1231" s="33"/>
      <c r="AT1231" s="33"/>
      <c r="AU1231" s="33"/>
      <c r="AV1231" s="33"/>
    </row>
    <row r="1232" spans="1:48" ht="12" customHeight="1">
      <c r="A1232" s="34"/>
      <c r="B1232" s="34"/>
      <c r="C1232" s="592"/>
      <c r="D1232" s="34"/>
      <c r="E1232" s="34"/>
      <c r="F1232" s="34"/>
      <c r="G1232" s="34"/>
      <c r="H1232" s="35"/>
      <c r="I1232" s="72"/>
      <c r="J1232" s="35"/>
      <c r="K1232" s="596" t="s">
        <v>904</v>
      </c>
      <c r="L1232" s="188"/>
      <c r="M1232" s="188"/>
      <c r="N1232" s="188"/>
      <c r="O1232" s="188"/>
      <c r="P1232" s="188"/>
      <c r="Q1232" s="599" t="s">
        <v>906</v>
      </c>
      <c r="S1232" s="71"/>
      <c r="T1232" s="71"/>
      <c r="U1232" s="71"/>
      <c r="X1232" s="71"/>
      <c r="Y1232" s="71"/>
      <c r="Z1232" s="368"/>
      <c r="AA1232" s="368"/>
      <c r="AB1232" s="368"/>
      <c r="AC1232" s="368"/>
      <c r="AD1232" s="368"/>
      <c r="AE1232" s="368"/>
      <c r="AF1232" s="368"/>
      <c r="AG1232" s="368"/>
      <c r="AH1232" s="368"/>
      <c r="AI1232" s="368"/>
      <c r="AJ1232" s="368"/>
      <c r="AK1232" s="368"/>
      <c r="AL1232" s="368"/>
      <c r="AM1232" s="368"/>
      <c r="AN1232" s="188"/>
      <c r="AR1232" s="33"/>
      <c r="AS1232" s="33"/>
      <c r="AT1232" s="33"/>
      <c r="AU1232" s="33"/>
      <c r="AV1232" s="33"/>
    </row>
    <row r="1233" spans="1:48" ht="12" customHeight="1">
      <c r="A1233" s="34"/>
      <c r="B1233" s="34"/>
      <c r="C1233" s="592"/>
      <c r="D1233" s="34"/>
      <c r="E1233" s="34"/>
      <c r="F1233" s="34"/>
      <c r="G1233" s="34"/>
      <c r="H1233" s="35"/>
      <c r="I1233" s="72"/>
      <c r="J1233" s="35"/>
      <c r="K1233" s="35"/>
      <c r="L1233" s="188"/>
      <c r="M1233" s="188"/>
      <c r="N1233" s="188"/>
      <c r="O1233" s="188"/>
      <c r="P1233" s="188"/>
      <c r="Q1233" s="599" t="s">
        <v>907</v>
      </c>
      <c r="S1233" s="71"/>
      <c r="T1233" s="71"/>
      <c r="U1233" s="71"/>
      <c r="X1233" s="71"/>
      <c r="Y1233" s="71"/>
      <c r="Z1233" s="368"/>
      <c r="AA1233" s="368"/>
      <c r="AB1233" s="368"/>
      <c r="AC1233" s="368"/>
      <c r="AD1233" s="368"/>
      <c r="AE1233" s="368"/>
      <c r="AF1233" s="368"/>
      <c r="AG1233" s="368"/>
      <c r="AH1233" s="368"/>
      <c r="AI1233" s="368"/>
      <c r="AJ1233" s="368"/>
      <c r="AK1233" s="368"/>
      <c r="AL1233" s="368"/>
      <c r="AM1233" s="368"/>
      <c r="AN1233" s="188"/>
      <c r="AR1233" s="33"/>
      <c r="AS1233" s="33"/>
      <c r="AT1233" s="33"/>
      <c r="AU1233" s="33"/>
      <c r="AV1233" s="33"/>
    </row>
    <row r="1234" spans="1:48" ht="12" customHeight="1">
      <c r="A1234" s="34"/>
      <c r="B1234" s="34"/>
      <c r="C1234" s="592"/>
      <c r="D1234" s="34"/>
      <c r="E1234" s="34"/>
      <c r="F1234" s="34"/>
      <c r="G1234" s="34"/>
      <c r="H1234" s="35"/>
      <c r="I1234" s="72"/>
      <c r="J1234" s="35"/>
      <c r="K1234" s="35"/>
      <c r="L1234" s="188"/>
      <c r="M1234" s="188"/>
      <c r="N1234" s="188"/>
      <c r="O1234" s="188"/>
      <c r="P1234" s="188"/>
      <c r="Q1234" s="188"/>
      <c r="R1234" s="188"/>
      <c r="S1234" s="71"/>
      <c r="T1234" s="71"/>
      <c r="U1234" s="71"/>
      <c r="X1234" s="71"/>
      <c r="Y1234" s="71"/>
      <c r="Z1234" s="368"/>
      <c r="AA1234" s="368"/>
      <c r="AB1234" s="368"/>
      <c r="AC1234" s="368"/>
      <c r="AD1234" s="368"/>
      <c r="AE1234" s="368"/>
      <c r="AF1234" s="368"/>
      <c r="AG1234" s="368"/>
      <c r="AH1234" s="368"/>
      <c r="AI1234" s="368"/>
      <c r="AJ1234" s="368"/>
      <c r="AK1234" s="368"/>
      <c r="AL1234" s="368"/>
      <c r="AM1234" s="368"/>
      <c r="AN1234" s="188"/>
      <c r="AQ1234" s="188"/>
      <c r="AR1234" s="33"/>
      <c r="AS1234" s="33"/>
      <c r="AT1234" s="33"/>
      <c r="AU1234" s="33"/>
      <c r="AV1234" s="33"/>
    </row>
    <row r="1235" spans="1:48" ht="12" customHeight="1">
      <c r="A1235" s="34"/>
      <c r="B1235" s="34"/>
      <c r="C1235" s="34"/>
      <c r="D1235" s="34"/>
      <c r="E1235" s="34"/>
      <c r="F1235" s="34"/>
      <c r="G1235" s="34"/>
      <c r="H1235" s="35"/>
      <c r="I1235" s="72"/>
      <c r="J1235" s="35"/>
      <c r="K1235" s="35"/>
      <c r="L1235" s="597" t="s">
        <v>908</v>
      </c>
      <c r="M1235" s="188"/>
      <c r="N1235" s="188"/>
      <c r="O1235" s="188"/>
      <c r="P1235" s="188"/>
      <c r="Q1235" s="188"/>
      <c r="R1235" s="188"/>
      <c r="S1235" s="71"/>
      <c r="T1235" s="71"/>
      <c r="U1235" s="71"/>
      <c r="V1235" s="188"/>
      <c r="W1235" s="188"/>
      <c r="X1235" s="71"/>
      <c r="Y1235" s="71"/>
      <c r="Z1235" s="368"/>
      <c r="AA1235" s="368"/>
      <c r="AB1235" s="368"/>
      <c r="AC1235" s="368"/>
      <c r="AD1235" s="368"/>
      <c r="AE1235" s="368"/>
      <c r="AF1235" s="368"/>
      <c r="AG1235" s="368"/>
      <c r="AH1235" s="368"/>
      <c r="AI1235" s="368"/>
      <c r="AJ1235" s="368"/>
      <c r="AK1235" s="368"/>
      <c r="AL1235" s="368"/>
      <c r="AM1235" s="368"/>
      <c r="AN1235" s="599"/>
      <c r="AQ1235" s="188"/>
      <c r="AR1235" s="33"/>
      <c r="AS1235" s="33"/>
      <c r="AT1235" s="33"/>
      <c r="AU1235" s="33"/>
      <c r="AV1235" s="33"/>
    </row>
    <row r="1236" spans="1:48" ht="12" customHeight="1">
      <c r="A1236" s="34"/>
      <c r="B1236" s="34"/>
      <c r="C1236" s="34"/>
      <c r="D1236" s="34"/>
      <c r="E1236" s="34"/>
      <c r="F1236" s="34"/>
      <c r="G1236" s="34"/>
      <c r="H1236" s="35"/>
      <c r="I1236" s="72"/>
      <c r="J1236" s="35"/>
      <c r="K1236" s="35"/>
      <c r="L1236" s="597" t="s">
        <v>909</v>
      </c>
      <c r="M1236" s="188"/>
      <c r="N1236" s="188"/>
      <c r="O1236" s="188"/>
      <c r="P1236" s="188"/>
      <c r="Q1236" s="188"/>
      <c r="R1236" s="188"/>
      <c r="S1236" s="71"/>
      <c r="T1236" s="71"/>
      <c r="U1236" s="71"/>
      <c r="V1236" s="188"/>
      <c r="W1236" s="188"/>
      <c r="X1236" s="71"/>
      <c r="Y1236" s="71"/>
      <c r="Z1236" s="368"/>
      <c r="AA1236" s="368"/>
      <c r="AB1236" s="368"/>
      <c r="AC1236" s="368"/>
      <c r="AD1236" s="368"/>
      <c r="AE1236" s="368"/>
      <c r="AF1236" s="368"/>
      <c r="AG1236" s="368"/>
      <c r="AH1236" s="368"/>
      <c r="AI1236" s="368"/>
      <c r="AJ1236" s="368"/>
      <c r="AK1236" s="368"/>
      <c r="AL1236" s="368"/>
      <c r="AM1236" s="368"/>
      <c r="AN1236" s="30"/>
      <c r="AQ1236" s="188"/>
      <c r="AR1236" s="33"/>
      <c r="AS1236" s="33"/>
      <c r="AT1236" s="33"/>
      <c r="AU1236" s="33"/>
      <c r="AV1236" s="33"/>
    </row>
    <row r="1237" spans="1:48" ht="12" customHeight="1">
      <c r="A1237" s="34"/>
      <c r="B1237" s="34"/>
      <c r="C1237" s="34"/>
      <c r="D1237" s="34"/>
      <c r="E1237" s="34"/>
      <c r="F1237" s="34"/>
      <c r="G1237" s="34"/>
      <c r="H1237" s="35"/>
      <c r="I1237" s="72"/>
      <c r="J1237" s="35"/>
      <c r="K1237" s="35"/>
      <c r="L1237" s="596" t="s">
        <v>910</v>
      </c>
      <c r="M1237" s="188"/>
      <c r="N1237" s="188"/>
      <c r="O1237" s="188"/>
      <c r="P1237" s="188"/>
      <c r="Q1237" s="188"/>
      <c r="R1237" s="188"/>
      <c r="S1237" s="71"/>
      <c r="T1237" s="71"/>
      <c r="U1237" s="71"/>
      <c r="V1237" s="188"/>
      <c r="W1237" s="188"/>
      <c r="X1237" s="71"/>
      <c r="Y1237" s="71"/>
      <c r="Z1237" s="368"/>
      <c r="AA1237" s="368"/>
      <c r="AB1237" s="368"/>
      <c r="AC1237" s="368"/>
      <c r="AD1237" s="368"/>
      <c r="AE1237" s="368"/>
      <c r="AF1237" s="368"/>
      <c r="AG1237" s="368"/>
      <c r="AH1237" s="368"/>
      <c r="AI1237" s="368"/>
      <c r="AJ1237" s="368"/>
      <c r="AK1237" s="368"/>
      <c r="AL1237" s="368"/>
      <c r="AM1237" s="368"/>
      <c r="AN1237" s="30"/>
      <c r="AQ1237" s="188"/>
      <c r="AR1237" s="33"/>
      <c r="AS1237" s="33"/>
      <c r="AT1237" s="33"/>
      <c r="AU1237" s="33"/>
      <c r="AV1237" s="33"/>
    </row>
    <row r="1238" spans="1:48" ht="12" customHeight="1">
      <c r="A1238" s="34"/>
      <c r="B1238" s="34"/>
      <c r="C1238" s="34"/>
      <c r="D1238" s="34"/>
      <c r="E1238" s="34"/>
      <c r="F1238" s="34"/>
      <c r="G1238" s="34"/>
      <c r="H1238" s="35"/>
      <c r="I1238" s="72"/>
      <c r="J1238" s="35"/>
      <c r="K1238" s="35"/>
      <c r="L1238" s="598" t="s">
        <v>911</v>
      </c>
      <c r="M1238" s="599"/>
      <c r="N1238" s="599"/>
      <c r="O1238" s="599"/>
      <c r="P1238" s="599"/>
      <c r="S1238" s="71"/>
      <c r="T1238" s="71"/>
      <c r="U1238" s="71"/>
      <c r="V1238" s="188"/>
      <c r="W1238" s="188"/>
      <c r="X1238" s="71"/>
      <c r="Y1238" s="71"/>
      <c r="Z1238" s="368"/>
      <c r="AA1238" s="368"/>
      <c r="AB1238" s="368"/>
      <c r="AC1238" s="368"/>
      <c r="AD1238" s="368"/>
      <c r="AE1238" s="368"/>
      <c r="AF1238" s="368"/>
      <c r="AG1238" s="368"/>
      <c r="AH1238" s="368"/>
      <c r="AI1238" s="368"/>
      <c r="AJ1238" s="368"/>
      <c r="AK1238" s="368"/>
      <c r="AL1238" s="368"/>
      <c r="AM1238" s="368"/>
      <c r="AN1238" s="30"/>
      <c r="AR1238" s="33"/>
      <c r="AS1238" s="33"/>
      <c r="AT1238" s="33"/>
      <c r="AU1238" s="33"/>
      <c r="AV1238" s="33"/>
    </row>
    <row r="1239" spans="1:48" ht="12" customHeight="1">
      <c r="A1239" s="28"/>
      <c r="B1239" s="34"/>
      <c r="C1239" s="34"/>
      <c r="D1239" s="34"/>
      <c r="E1239" s="34"/>
      <c r="F1239" s="34"/>
      <c r="G1239" s="34"/>
      <c r="H1239" s="35"/>
      <c r="I1239" s="600"/>
      <c r="J1239" s="35"/>
      <c r="K1239" s="596" t="s">
        <v>910</v>
      </c>
      <c r="Q1239" s="599" t="s">
        <v>912</v>
      </c>
      <c r="X1239" s="71"/>
      <c r="Y1239" s="71"/>
      <c r="Z1239" s="368"/>
      <c r="AA1239" s="368"/>
      <c r="AB1239" s="368"/>
      <c r="AC1239" s="368"/>
      <c r="AD1239" s="368"/>
      <c r="AE1239" s="368"/>
      <c r="AF1239" s="368"/>
      <c r="AG1239" s="368"/>
      <c r="AH1239" s="368"/>
      <c r="AI1239" s="368"/>
      <c r="AJ1239" s="368"/>
      <c r="AK1239" s="368"/>
      <c r="AL1239" s="368"/>
      <c r="AM1239" s="368"/>
      <c r="AN1239" s="30"/>
      <c r="AR1239" s="33"/>
      <c r="AS1239" s="33"/>
      <c r="AT1239" s="33"/>
      <c r="AU1239" s="33"/>
      <c r="AV1239" s="33"/>
    </row>
    <row r="1240" spans="1:48" ht="12" customHeight="1">
      <c r="A1240" s="28"/>
      <c r="B1240" s="28"/>
      <c r="C1240" s="28"/>
      <c r="D1240" s="28"/>
      <c r="K1240" s="598" t="s">
        <v>911</v>
      </c>
      <c r="Q1240" s="599" t="s">
        <v>913</v>
      </c>
      <c r="V1240" s="614"/>
      <c r="W1240" s="614"/>
      <c r="Z1240" s="368"/>
      <c r="AA1240" s="368"/>
      <c r="AB1240" s="368"/>
      <c r="AC1240" s="368"/>
      <c r="AD1240" s="368"/>
      <c r="AE1240" s="368"/>
      <c r="AF1240" s="368"/>
      <c r="AG1240" s="368"/>
      <c r="AH1240" s="368"/>
      <c r="AI1240" s="368"/>
      <c r="AJ1240" s="368"/>
      <c r="AK1240" s="368"/>
      <c r="AL1240" s="368"/>
      <c r="AM1240" s="368"/>
      <c r="AN1240" s="30"/>
      <c r="AR1240" s="33"/>
      <c r="AS1240" s="33"/>
      <c r="AT1240" s="33"/>
      <c r="AU1240" s="33"/>
      <c r="AV1240" s="33"/>
    </row>
    <row r="1241" spans="1:48" ht="12" customHeight="1">
      <c r="A1241" s="644" t="s">
        <v>915</v>
      </c>
      <c r="B1241" s="644"/>
      <c r="C1241" s="644"/>
      <c r="D1241" s="644"/>
      <c r="E1241" s="644"/>
      <c r="F1241" s="644"/>
      <c r="G1241" s="644"/>
      <c r="H1241" s="644"/>
      <c r="K1241" s="28"/>
      <c r="Q1241" s="599" t="s">
        <v>914</v>
      </c>
      <c r="V1241" s="614" t="s">
        <v>917</v>
      </c>
      <c r="W1241" s="614"/>
      <c r="Z1241" s="368"/>
      <c r="AA1241" s="368"/>
      <c r="AB1241" s="368"/>
      <c r="AC1241" s="368"/>
      <c r="AD1241" s="368"/>
      <c r="AE1241" s="368"/>
      <c r="AF1241" s="368"/>
      <c r="AG1241" s="368"/>
      <c r="AH1241" s="368"/>
      <c r="AI1241" s="368"/>
      <c r="AJ1241" s="368"/>
      <c r="AK1241" s="368"/>
      <c r="AL1241" s="368"/>
      <c r="AM1241" s="368"/>
      <c r="AN1241" s="30"/>
      <c r="AR1241" s="33"/>
      <c r="AS1241" s="33"/>
      <c r="AT1241" s="33"/>
      <c r="AU1241" s="33"/>
      <c r="AV1241" s="33"/>
    </row>
    <row r="1242" spans="1:48" ht="12" customHeight="1">
      <c r="A1242" s="644" t="s">
        <v>916</v>
      </c>
      <c r="B1242" s="644"/>
      <c r="C1242" s="644"/>
      <c r="D1242" s="644"/>
      <c r="E1242" s="644"/>
      <c r="F1242" s="644"/>
      <c r="G1242" s="644"/>
      <c r="H1242" s="644"/>
      <c r="I1242" s="368"/>
      <c r="J1242" s="368"/>
      <c r="K1242" s="368"/>
      <c r="L1242" s="368"/>
      <c r="M1242" s="368"/>
      <c r="N1242" s="368"/>
      <c r="O1242" s="368"/>
      <c r="P1242" s="368"/>
      <c r="Q1242" s="368"/>
      <c r="R1242" s="368"/>
      <c r="S1242" s="368"/>
      <c r="T1242" s="368"/>
      <c r="U1242" s="368"/>
      <c r="V1242" s="614" t="s">
        <v>913</v>
      </c>
      <c r="W1242" s="614"/>
      <c r="Z1242" s="368"/>
      <c r="AA1242" s="368"/>
      <c r="AB1242" s="368"/>
      <c r="AC1242" s="368"/>
      <c r="AD1242" s="368"/>
      <c r="AE1242" s="368"/>
      <c r="AF1242" s="368"/>
      <c r="AG1242" s="368"/>
      <c r="AH1242" s="368"/>
      <c r="AI1242" s="368"/>
      <c r="AJ1242" s="368"/>
      <c r="AK1242" s="368"/>
      <c r="AL1242" s="368"/>
      <c r="AM1242" s="368"/>
      <c r="AN1242" s="30"/>
      <c r="AQ1242" s="368"/>
      <c r="AR1242" s="33"/>
      <c r="AS1242" s="33"/>
      <c r="AT1242" s="33"/>
      <c r="AU1242" s="33"/>
      <c r="AV1242" s="33"/>
    </row>
    <row r="1243" spans="1:48" ht="12" customHeight="1">
      <c r="A1243" s="643" t="s">
        <v>919</v>
      </c>
      <c r="B1243" s="643"/>
      <c r="C1243" s="643"/>
      <c r="D1243" s="643"/>
      <c r="E1243" s="643"/>
      <c r="F1243" s="643"/>
      <c r="G1243" s="643"/>
      <c r="H1243" s="643"/>
      <c r="I1243" s="643"/>
      <c r="J1243" s="28"/>
      <c r="K1243" s="102"/>
      <c r="L1243" s="103"/>
      <c r="M1243" s="103"/>
      <c r="N1243" s="103"/>
      <c r="O1243" s="103"/>
      <c r="P1243" s="103"/>
      <c r="Q1243" s="103"/>
      <c r="R1243" s="103"/>
      <c r="S1243" s="103"/>
      <c r="T1243" s="103"/>
      <c r="U1243" s="103"/>
      <c r="V1243" s="615" t="s">
        <v>918</v>
      </c>
      <c r="W1243" s="615"/>
      <c r="X1243" s="143"/>
      <c r="Y1243" s="31"/>
      <c r="Z1243" s="31"/>
      <c r="AA1243" s="31"/>
      <c r="AB1243" s="31"/>
      <c r="AC1243" s="32"/>
      <c r="AD1243" s="32"/>
      <c r="AE1243" s="32"/>
      <c r="AF1243" s="32"/>
      <c r="AG1243" s="32"/>
      <c r="AH1243" s="32"/>
      <c r="AI1243" s="31"/>
      <c r="AJ1243" s="31"/>
      <c r="AK1243" s="31"/>
      <c r="AL1243" s="31"/>
      <c r="AM1243" s="31"/>
      <c r="AN1243" s="30"/>
      <c r="AQ1243" s="103"/>
      <c r="AR1243" s="33"/>
      <c r="AS1243" s="33"/>
      <c r="AT1243" s="33"/>
      <c r="AU1243" s="33"/>
      <c r="AV1243" s="33"/>
    </row>
    <row r="1244" spans="1:48" ht="12" customHeight="1">
      <c r="A1244" s="27"/>
      <c r="B1244" s="27"/>
      <c r="C1244" s="27"/>
      <c r="D1244" s="27"/>
      <c r="E1244" s="27"/>
      <c r="F1244" s="27"/>
      <c r="G1244" s="27"/>
      <c r="H1244" s="28"/>
      <c r="I1244" s="29"/>
      <c r="J1244" s="28"/>
      <c r="K1244" s="102"/>
      <c r="L1244" s="103"/>
      <c r="M1244" s="103"/>
      <c r="N1244" s="103"/>
      <c r="O1244" s="103"/>
      <c r="P1244" s="103"/>
      <c r="Q1244" s="103"/>
      <c r="R1244" s="103"/>
      <c r="S1244" s="103"/>
      <c r="T1244" s="103"/>
      <c r="U1244" s="103"/>
      <c r="V1244" s="103"/>
      <c r="W1244" s="103"/>
      <c r="X1244" s="143"/>
      <c r="Y1244" s="31"/>
      <c r="Z1244" s="31"/>
      <c r="AA1244" s="31"/>
      <c r="AB1244" s="31"/>
      <c r="AC1244" s="32"/>
      <c r="AD1244" s="32"/>
      <c r="AE1244" s="32"/>
      <c r="AF1244" s="32"/>
      <c r="AG1244" s="32"/>
      <c r="AH1244" s="32"/>
      <c r="AI1244" s="31"/>
      <c r="AJ1244" s="31"/>
      <c r="AK1244" s="31"/>
      <c r="AL1244" s="31"/>
      <c r="AM1244" s="31"/>
      <c r="AN1244" s="30"/>
      <c r="AQ1244" s="103"/>
      <c r="AR1244" s="33"/>
      <c r="AS1244" s="33"/>
      <c r="AT1244" s="33"/>
      <c r="AU1244" s="33"/>
      <c r="AV1244" s="33"/>
    </row>
  </sheetData>
  <mergeCells count="28">
    <mergeCell ref="AV7:AV8"/>
    <mergeCell ref="A1:K1"/>
    <mergeCell ref="AR7:AR8"/>
    <mergeCell ref="AS7:AS8"/>
    <mergeCell ref="AT7:AT8"/>
    <mergeCell ref="AU7:AU8"/>
    <mergeCell ref="AR10:AV10"/>
    <mergeCell ref="AR38:AR39"/>
    <mergeCell ref="AS38:AS39"/>
    <mergeCell ref="AT38:AT39"/>
    <mergeCell ref="AU38:AU39"/>
    <mergeCell ref="AV38:AV39"/>
    <mergeCell ref="AR44:AV44"/>
    <mergeCell ref="AR195:AR196"/>
    <mergeCell ref="AS195:AS196"/>
    <mergeCell ref="AT195:AT196"/>
    <mergeCell ref="AU195:AU196"/>
    <mergeCell ref="AV195:AV196"/>
    <mergeCell ref="A1243:I1243"/>
    <mergeCell ref="A1242:H1242"/>
    <mergeCell ref="A1241:H1241"/>
    <mergeCell ref="AR351:AV351"/>
    <mergeCell ref="AR198:AV198"/>
    <mergeCell ref="AR348:AR349"/>
    <mergeCell ref="AS348:AS349"/>
    <mergeCell ref="AT348:AT349"/>
    <mergeCell ref="AU348:AU349"/>
    <mergeCell ref="AV348:AV349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6" fitToHeight="0" orientation="landscape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Sheet3</vt:lpstr>
      <vt:lpstr>Sheet3!Print_Titles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nmiskovic</dc:creator>
  <cp:lastModifiedBy>korisnik</cp:lastModifiedBy>
  <cp:lastPrinted>2025-07-23T06:53:02Z</cp:lastPrinted>
  <dcterms:created xsi:type="dcterms:W3CDTF">2011-11-18T19:11:00Z</dcterms:created>
  <dcterms:modified xsi:type="dcterms:W3CDTF">2025-07-29T06:08:23Z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6C1E7F2423BF44FAA6B52C7D8B4C411D_13</vt:lpwstr>
  </property>
  <property fmtid="{D5CDD505-2E9C-101B-9397-08002B2CF9AE}" pid="3" name="KSOProductBuildVer">
    <vt:lpwstr>1033-12.2.0.20795</vt:lpwstr>
  </property>
</Properties>
</file>